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<sst xmlns="http://schemas.openxmlformats.org/spreadsheetml/2006/main" count="1608" uniqueCount="726">
  <si>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</si>
  <si>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</si>
  <si>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</si>
  <si>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</si>
  <si>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</si>
  <si>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</si>
  <si>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</si>
  <si>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</si>
  <si>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</si>
  <si>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</si>
  <si>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</si>
  <si>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</si>
  <si>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</si>
  <si>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</si>
  <si>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</si>
  <si>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</si>
  <si>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</si>
  <si>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</si>
  <si>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</si>
  <si>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</si>
  <si>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</si>
  <si>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</si>
  <si>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</si>
  <si>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</si>
  <si>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</si>
  <si>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</si>
  <si>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</si>
  <si>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</si>
  <si>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</si>
  <si>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</si>
  <si>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</si>
  <si>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</si>
  <si>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</si>
  <si>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</si>
  <si>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</si>
  <si>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</si>
  <si>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</si>
  <si>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</si>
  <si>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</si>
  <si>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</si>
  <si>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</si>
  <si>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</si>
  <si>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</si>
  <si>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</si>
  <si>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</si>
  <si>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</si>
  <si>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</si>
  <si>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</si>
  <si>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</si>
  <si>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</si>
  <si>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</si>
  <si>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</si>
  <si>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</si>
  <si>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</si>
  <si>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</si>
  <si>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</si>
  <si>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</si>
  <si>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</si>
  <si>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</si>
  <si>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</si>
  <si>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</si>
  <si>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</si>
  <si>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</si>
  <si>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</si>
  <si>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</si>
  <si>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</si>
  <si>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</si>
  <si>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</si>
  <si>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</si>
  <si>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</si>
  <si>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</si>
  <si>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</si>
  <si>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</si>
  <si>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</si>
  <si>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</si>
  <si>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</si>
  <si>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</si>
  <si>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</si>
  <si>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</si>
  <si>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</si>
  <si>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</si>
  <si>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</si>
  <si>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</si>
  <si>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</si>
  <si>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</si>
  <si>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</si>
  <si>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</si>
  <si>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</si>
  <si>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</si>
  <si>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</si>
  <si>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</si>
  <si>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</si>
  <si>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</si>
  <si>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</si>
  <si>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</si>
  <si>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</si>
  <si>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</si>
  <si>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</si>
  <si>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</si>
  <si>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</si>
  <si>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</si>
  <si>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</si>
  <si>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</si>
  <si>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</si>
  <si>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</si>
  <si>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</si>
  <si>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</si>
  <si>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</si>
  <si>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</si>
  <si>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</si>
  <si>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</si>
  <si>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</si>
  <si>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</si>
  <si>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</si>
  <si>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</si>
  <si>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</si>
  <si>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</si>
  <si>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</si>
  <si>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</si>
  <si>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</si>
  <si>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</si>
  <si>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</si>
  <si>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</si>
  <si>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</si>
  <si>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</si>
  <si>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</si>
  <si>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</si>
  <si>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</si>
  <si>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</si>
  <si>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</si>
  <si>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</si>
  <si>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</si>
  <si>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</si>
  <si>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</si>
  <si>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</si>
  <si>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</si>
  <si>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</si>
  <si>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</si>
  <si>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</si>
  <si>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</si>
  <si>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</si>
  <si>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</si>
  <si>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</si>
  <si>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</si>
  <si>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</si>
  <si>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</si>
  <si>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</si>
  <si>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</si>
  <si>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</si>
  <si>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</si>
  <si>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</si>
  <si>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</si>
  <si>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</si>
  <si>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</si>
  <si>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</si>
  <si>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</si>
  <si>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</si>
  <si>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</si>
  <si>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</si>
  <si>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</si>
  <si>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</si>
  <si>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</si>
  <si>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</si>
  <si>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</si>
  <si>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</si>
  <si>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</si>
  <si>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</si>
  <si>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</si>
  <si>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</si>
  <si>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</si>
  <si>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</si>
  <si>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</si>
  <si>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</si>
  <si>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</si>
  <si>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</si>
  <si>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</si>
  <si>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</si>
  <si>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</si>
  <si>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</si>
  <si>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</si>
  <si>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</si>
  <si>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</si>
  <si>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</si>
  <si>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</si>
  <si>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</si>
  <si>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</si>
  <si>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</si>
  <si>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</si>
  <si>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</si>
  <si>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</si>
  <si>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</si>
  <si>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</si>
  <si>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</si>
  <si>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</si>
  <si>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</si>
  <si>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</si>
  <si>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</si>
  <si>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</si>
  <si>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</si>
  <si>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</si>
  <si>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</si>
  <si>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</si>
  <si>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</si>
  <si>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</si>
  <si>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</si>
  <si>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</si>
  <si>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</si>
  <si>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</si>
  <si>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</si>
  <si>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</si>
  <si>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</si>
  <si>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</si>
  <si>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</si>
  <si>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</si>
  <si>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</si>
  <si>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</si>
  <si>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</si>
  <si>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</si>
  <si>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</si>
  <si>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</si>
  <si>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</si>
  <si>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</si>
  <si>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</si>
  <si>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</si>
  <si>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</si>
  <si>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</si>
  <si>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</si>
  <si>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</si>
  <si>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</si>
  <si>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</si>
  <si>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</si>
  <si>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</si>
  <si>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</si>
  <si>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</si>
  <si>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</si>
  <si>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</si>
  <si>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</si>
  <si>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</si>
  <si>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</si>
  <si>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</si>
  <si>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</si>
  <si>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</si>
  <si>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</si>
  <si>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</si>
  <si>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</si>
  <si>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</si>
  <si>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</si>
  <si>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</si>
  <si>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</si>
  <si>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</si>
  <si>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</si>
  <si>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</si>
  <si>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</si>
  <si>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</si>
  <si>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</si>
  <si>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</si>
  <si>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</si>
  <si>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</si>
  <si>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</si>
  <si>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</si>
  <si>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</si>
  <si>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</si>
  <si>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</si>
  <si>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</si>
  <si>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</si>
  <si>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</si>
  <si>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</si>
  <si>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</si>
  <si>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</si>
  <si>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</si>
  <si>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</si>
  <si>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</si>
  <si>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</si>
  <si>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</si>
  <si>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</si>
  <si>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</si>
  <si>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</si>
  <si>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</si>
  <si>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</si>
  <si>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</si>
  <si>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</si>
  <si>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</si>
  <si>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</si>
  <si>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</si>
  <si>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</si>
  <si>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</si>
  <si>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</si>
  <si>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</si>
  <si>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</si>
  <si>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</si>
  <si>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</si>
  <si>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</si>
  <si>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</si>
  <si>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</si>
  <si>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</si>
  <si>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</si>
  <si>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</si>
  <si>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</si>
  <si>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</si>
  <si>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</si>
  <si>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</si>
  <si>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</si>
  <si>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</si>
  <si>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</si>
  <si>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</si>
  <si>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</si>
  <si>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</si>
  <si>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</si>
  <si>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</si>
  <si>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</si>
  <si>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</si>
  <si>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</si>
  <si>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</si>
  <si>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</si>
  <si>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</si>
  <si>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</si>
  <si>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</si>
  <si>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</si>
  <si>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</si>
  <si>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</si>
  <si>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</si>
  <si>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</si>
  <si>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</si>
  <si>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</si>
  <si>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</si>
  <si>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</si>
  <si>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</si>
  <si>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</si>
  <si>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</si>
  <si>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</si>
  <si>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</si>
  <si>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</si>
  <si>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</si>
  <si>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</si>
  <si>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</si>
  <si>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</si>
  <si>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</si>
  <si>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</si>
  <si>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</si>
  <si>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</si>
  <si>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</si>
  <si>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</si>
  <si>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</si>
  <si>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</si>
  <si>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</si>
  <si>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</si>
  <si>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</si>
  <si>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</si>
  <si>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</si>
  <si>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</si>
  <si>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</si>
  <si>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</si>
  <si>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</si>
  <si>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</si>
  <si>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</si>
  <si>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</si>
  <si>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</si>
  <si>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</si>
  <si>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</si>
  <si>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</si>
  <si>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</si>
  <si>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</si>
  <si>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</si>
  <si>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</si>
  <si>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</si>
  <si>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</si>
  <si>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</si>
  <si>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</si>
  <si>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</si>
  <si>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</si>
  <si>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</si>
  <si>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</si>
  <si>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</si>
  <si>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</si>
  <si>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</si>
  <si>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</si>
  <si>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</si>
  <si>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</si>
  <si>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</si>
  <si>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</si>
  <si>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</si>
  <si>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</si>
  <si>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</si>
  <si>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</si>
  <si>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</si>
  <si>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</si>
  <si>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</si>
  <si>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</si>
  <si>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</si>
  <si>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</si>
  <si>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</si>
  <si>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</si>
  <si>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</si>
  <si>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</si>
  <si>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</si>
  <si>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</si>
  <si>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</si>
  <si>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</si>
  <si>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</si>
  <si>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</si>
  <si>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</si>
  <si>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</si>
  <si>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</si>
  <si>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</si>
  <si>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</si>
  <si>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</si>
  <si>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</si>
  <si>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</si>
  <si>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</si>
  <si>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</si>
  <si>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</si>
  <si>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</si>
  <si>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</si>
  <si>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</si>
  <si>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</si>
  <si>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</si>
  <si>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</si>
  <si>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</si>
  <si>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</si>
  <si>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</si>
  <si>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</si>
  <si>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</si>
  <si>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</si>
  <si>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</si>
  <si>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</si>
  <si>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</si>
  <si>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</si>
  <si>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</si>
  <si>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</si>
  <si>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</si>
  <si>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</si>
  <si>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</si>
  <si>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</si>
  <si>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</si>
  <si>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</si>
  <si>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</si>
  <si>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</si>
  <si>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</si>
  <si>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</si>
  <si>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</si>
  <si>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</si>
  <si>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</si>
  <si>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</si>
  <si>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</si>
  <si>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</si>
  <si>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</si>
  <si>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</si>
  <si>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</si>
  <si>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</si>
  <si>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</si>
  <si>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</si>
  <si>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</si>
  <si>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</si>
  <si>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</si>
  <si>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</si>
  <si>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</si>
  <si>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</si>
  <si>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</si>
  <si>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</si>
  <si>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</si>
  <si>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</si>
  <si>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</si>
  <si>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</si>
  <si>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</si>
  <si>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</si>
  <si>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</si>
  <si>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</si>
  <si>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</si>
  <si>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</si>
  <si>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</si>
  <si>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</si>
  <si>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</si>
  <si>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</si>
  <si>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</si>
  <si>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</si>
  <si>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</si>
  <si>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</si>
  <si>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</si>
  <si>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</si>
  <si>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</si>
  <si>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</si>
  <si>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</si>
  <si>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</si>
  <si>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</si>
  <si>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</si>
  <si>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</si>
  <si>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</si>
  <si>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</si>
  <si>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</si>
  <si>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</si>
  <si>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</si>
  <si>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</si>
  <si>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</si>
  <si>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</si>
  <si>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</si>
  <si>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</si>
  <si>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</si>
  <si>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</si>
  <si>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</si>
  <si>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</si>
  <si>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</si>
  <si>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</si>
  <si>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</si>
  <si>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</si>
  <si>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</si>
  <si>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</si>
  <si>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</si>
  <si>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</si>
  <si>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</si>
  <si>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</si>
  <si>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</si>
  <si>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</si>
  <si>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</si>
  <si>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</si>
  <si>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</si>
  <si>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</si>
  <si>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</si>
  <si>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</si>
  <si>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</si>
  <si>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</si>
  <si>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</si>
  <si>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</si>
  <si>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</si>
  <si>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</si>
  <si>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</si>
  <si>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</si>
  <si>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</si>
  <si>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</si>
  <si>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</si>
  <si>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</si>
  <si>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</si>
  <si>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</si>
  <si>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</si>
  <si>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</si>
  <si>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</si>
  <si>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</si>
  <si>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</si>
  <si>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</si>
  <si>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</si>
  <si>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</si>
  <si>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</si>
  <si>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</si>
  <si>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</si>
  <si>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</si>
  <si>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</si>
  <si>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</si>
  <si>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</si>
  <si>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</si>
  <si>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</si>
  <si>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</si>
  <si>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</si>
  <si>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</si>
  <si>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</si>
  <si>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</si>
  <si>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</si>
  <si>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</si>
  <si>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</si>
  <si>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</si>
  <si>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</si>
  <si>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</si>
  <si>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</si>
  <si>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</si>
  <si>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</si>
  <si>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</si>
  <si>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</si>
  <si>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</si>
  <si>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</si>
  <si>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</si>
  <si>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</si>
  <si>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</si>
  <si>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</si>
  <si>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</si>
  <si>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</si>
  <si>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</si>
  <si>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</si>
  <si>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</si>
  <si>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</si>
  <si>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</si>
  <si>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</si>
  <si>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</si>
  <si>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</si>
  <si>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</si>
  <si>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</si>
  <si>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</si>
  <si>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</si>
  <si>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</si>
  <si>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</si>
  <si>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</si>
  <si>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</si>
  <si>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</si>
  <si>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</si>
  <si>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</si>
  <si>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</si>
  <si>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</si>
  <si>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</si>
  <si>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</si>
  <si>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</si>
  <si>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</si>
  <si>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</si>
  <si>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</si>
  <si>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</si>
  <si>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</si>
  <si>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</si>
  <si>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</si>
  <si>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</si>
  <si>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</si>
  <si>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</si>
  <si>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</si>
  <si>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</si>
  <si>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</si>
  <si>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</si>
  <si>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</si>
  <si>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</si>
  <si>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</si>
  <si>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</si>
  <si>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</si>
  <si>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</si>
  <si>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</si>
  <si>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</si>
  <si>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</si>
  <si>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</si>
  <si>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</si>
  <si>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</si>
  <si>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</si>
  <si>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</si>
  <si>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</si>
  <si>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</si>
  <si>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</si>
  <si>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</si>
  <si>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</si>
  <si>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</si>
  <si>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</si>
  <si>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</si>
  <si>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</si>
  <si>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</si>
  <si>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</si>
  <si>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</si>
  <si>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</si>
  <si>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</si>
  <si>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</si>
  <si>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</si>
  <si>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</si>
  <si>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</si>
  <si>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</si>
  <si>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</si>
  <si>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</si>
  <si>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</si>
  <si>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</si>
  <si>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</si>
  <si>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</si>
  <si>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</si>
  <si>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</si>
  <si>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</si>
  <si>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</si>
  <si>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</si>
  <si>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</si>
  <si>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</si>
  <si>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</si>
  <si>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</si>
  <si>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</si>
  <si>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</si>
  <si>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</si>
  <si>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</si>
  <si>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</si>
  <si>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</si>
  <si>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</si>
  <si>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</si>
  <si>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</si>
  <si>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</si>
  <si>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</si>
  <si>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</si>
  <si>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</si>
  <si>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</si>
  <si>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</si>
  <si>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</si>
  <si>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</si>
  <si>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</si>
  <si>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</si>
  <si>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</si>
  <si>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</si>
  <si>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</si>
  <si>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</si>
  <si>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</si>
  <si>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</si>
  <si>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</si>
  <si>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</si>
  <si>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</si>
  <si>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</si>
  <si>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</si>
  <si>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</si>
  <si>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</si>
  <si>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</si>
  <si>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</si>
  <si>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</si>
  <si>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</si>
  <si>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</si>
  <si>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</si>
  <si>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</si>
  <si>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</si>
  <si>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</si>
  <si>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</si>
  <si>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</si>
  <si>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</si>
  <si>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</si>
  <si>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</si>
  <si>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</si>
  <si>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</si>
  <si>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</si>
  <si>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</si>
  <si>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</si>
  <si>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</si>
  <si>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</si>
  <si>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</si>
  <si>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</si>
  <si>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</si>
  <si>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B</t>
  </si>
  <si>
    <t>A</t>
  </si>
  <si>
    <t>C</t>
  </si>
  <si>
    <t>تمثل الفاقد في المياه اثناء النقل في الضفة الغربية فقط ولا تشمل قطاع غزة.</t>
  </si>
  <si>
    <t>التباين  لهذا المؤشرعالي</t>
  </si>
  <si>
    <t>تمثل كمية المياه المزودة للقطاع المنزلي في الضفة الغربية فقط ولا تشمل قطاع غزة.</t>
  </si>
  <si>
    <t>مصدر هذه البيانات مسح ظروف السكن، 2015</t>
  </si>
  <si>
    <t>تمثل نسبة السكان الذين يمكنهم الحصول على مصدر مياه محسن (آمن) وهي عبارة عن حاصل جمع نسبة الاسر المتصلة بشبكة المياه العامة ونسبة الاسر التي تحصل على المياه من بئر منزلي ومصدر هذه البيانات مسح البيئة المنزلي وتقرير الالفية</t>
  </si>
  <si>
    <t>البيانات تشير إلى نسبة الأسر المعيشية الموصولة بشبكات الصرف الصحي، مسوحات ومصادر عدة.</t>
  </si>
  <si>
    <t>Palestinian Water Authority.</t>
  </si>
  <si>
    <t>Palestinian Central Bureau of Statistics, 2021. Palestinian Multiple Indicator Cluster Survey 2019-2020, Survey
Findings Report, Ramallah, Palestine.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</si>
</sst>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2">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2" fillId="33" borderId="0" xfId="0" applyNumberFormat="1" applyFont="1" applyFill="1" applyBorder="1" applyAlignment="1">
      <alignment horizontal="right" vertical="top" wrapText="1"/>
    </xf>
    <xf numFmtId="0" fontId="14" fillId="33" borderId="0" xfId="0" applyFont="1" applyFill="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0" xfId="0" applyFont="1" applyFill="1" applyAlignment="1">
      <alignment horizontal="right" vertical="center"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 borderId="57"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0" xfId="0" applyFont="1" applyAlignment="1">
      <alignment horizontal="right" vertical="top" wrapText="1"/>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0" fillId="35" borderId="58" xfId="0" applyFill="1" applyBorder="1" applyAlignment="1">
      <alignment wrapText="1"/>
    </xf>
    <xf numFmtId="0" fontId="0" fillId="35" borderId="59"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58" xfId="0" applyBorder="1" applyAlignment="1">
      <alignment wrapText="1"/>
    </xf>
    <xf numFmtId="0" fontId="0" fillId="0" borderId="59" xfId="0" applyBorder="1" applyAlignment="1">
      <alignment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2" borderId="0" xfId="0" applyFont="1" applyFill="1" applyBorder="1" applyAlignment="1" applyProtection="1">
      <alignment horizontal="left"/>
      <protection/>
    </xf>
    <xf numFmtId="0" fontId="8" fillId="5" borderId="84" xfId="0" applyFont="1" applyFill="1" applyBorder="1" applyAlignment="1" applyProtection="1">
      <alignment horizontal="center" vertical="center" wrapText="1"/>
      <protection/>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0</xdr:rowOff>
    </xdr:from>
    <xdr:to>
      <xdr:col>10</xdr:col>
      <xdr:colOff>180975</xdr:colOff>
      <xdr:row>5</xdr:row>
      <xdr:rowOff>123825</xdr:rowOff>
    </xdr:to>
    <xdr:pic>
      <xdr:nvPicPr>
        <xdr:cNvPr id="1" name="Picture 1"/>
        <xdr:cNvPicPr preferRelativeResize="1">
          <a:picLocks noChangeAspect="1"/>
        </xdr:cNvPicPr>
      </xdr:nvPicPr>
      <xdr:blipFill>
        <a:blip r:embed="rId1"/>
        <a:stretch>
          <a:fillRect/>
        </a:stretch>
      </xdr:blipFill>
      <xdr:spPr>
        <a:xfrm>
          <a:off x="4648200" y="161925"/>
          <a:ext cx="2447925" cy="771525"/>
        </a:xfrm>
        <a:prstGeom prst="rect">
          <a:avLst/>
        </a:prstGeom>
        <a:noFill/>
        <a:ln w="9525" cmpd="sng">
          <a:noFill/>
        </a:ln>
      </xdr:spPr>
    </xdr:pic>
    <xdr:clientData/>
  </xdr:twoCellAnchor>
  <xdr:twoCellAnchor editAs="oneCell">
    <xdr:from>
      <xdr:col>0</xdr:col>
      <xdr:colOff>104775</xdr:colOff>
      <xdr:row>0</xdr:row>
      <xdr:rowOff>47625</xdr:rowOff>
    </xdr:from>
    <xdr:to>
      <xdr:col>1</xdr:col>
      <xdr:colOff>695325</xdr:colOff>
      <xdr:row>5</xdr:row>
      <xdr:rowOff>9525</xdr:rowOff>
    </xdr:to>
    <xdr:pic>
      <xdr:nvPicPr>
        <xdr:cNvPr id="2" name="Picture 5"/>
        <xdr:cNvPicPr preferRelativeResize="1">
          <a:picLocks noChangeAspect="1"/>
        </xdr:cNvPicPr>
      </xdr:nvPicPr>
      <xdr:blipFill>
        <a:blip r:embed="rId2"/>
        <a:stretch>
          <a:fillRect/>
        </a:stretch>
      </xdr:blipFill>
      <xdr:spPr>
        <a:xfrm>
          <a:off x="104775"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152400</xdr:rowOff>
    </xdr:from>
    <xdr:to>
      <xdr:col>12</xdr:col>
      <xdr:colOff>123825</xdr:colOff>
      <xdr:row>28</xdr:row>
      <xdr:rowOff>152400</xdr:rowOff>
    </xdr:to>
    <xdr:sp>
      <xdr:nvSpPr>
        <xdr:cNvPr id="1" name="Line 49"/>
        <xdr:cNvSpPr>
          <a:spLocks/>
        </xdr:cNvSpPr>
      </xdr:nvSpPr>
      <xdr:spPr>
        <a:xfrm flipH="1" flipV="1">
          <a:off x="9258300" y="9925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34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060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9525</xdr:colOff>
      <xdr:row>72</xdr:row>
      <xdr:rowOff>133350</xdr:rowOff>
    </xdr:to>
    <xdr:sp>
      <xdr:nvSpPr>
        <xdr:cNvPr id="4" name="Line 231"/>
        <xdr:cNvSpPr>
          <a:spLocks/>
        </xdr:cNvSpPr>
      </xdr:nvSpPr>
      <xdr:spPr>
        <a:xfrm flipH="1" flipV="1">
          <a:off x="26250900" y="172974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228600</xdr:rowOff>
    </xdr:from>
    <xdr:to>
      <xdr:col>4</xdr:col>
      <xdr:colOff>1057275</xdr:colOff>
      <xdr:row>11</xdr:row>
      <xdr:rowOff>228600</xdr:rowOff>
    </xdr:to>
    <xdr:sp>
      <xdr:nvSpPr>
        <xdr:cNvPr id="5" name="Line 7"/>
        <xdr:cNvSpPr>
          <a:spLocks/>
        </xdr:cNvSpPr>
      </xdr:nvSpPr>
      <xdr:spPr>
        <a:xfrm flipV="1">
          <a:off x="990600" y="27432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6" name="Line 8"/>
        <xdr:cNvSpPr>
          <a:spLocks/>
        </xdr:cNvSpPr>
      </xdr:nvSpPr>
      <xdr:spPr>
        <a:xfrm>
          <a:off x="2562225" y="214312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104775</xdr:colOff>
      <xdr:row>18</xdr:row>
      <xdr:rowOff>295275</xdr:rowOff>
    </xdr:from>
    <xdr:to>
      <xdr:col>12</xdr:col>
      <xdr:colOff>114300</xdr:colOff>
      <xdr:row>26</xdr:row>
      <xdr:rowOff>266700</xdr:rowOff>
    </xdr:to>
    <xdr:sp>
      <xdr:nvSpPr>
        <xdr:cNvPr id="7" name="Line 9"/>
        <xdr:cNvSpPr>
          <a:spLocks/>
        </xdr:cNvSpPr>
      </xdr:nvSpPr>
      <xdr:spPr>
        <a:xfrm>
          <a:off x="9239250" y="5876925"/>
          <a:ext cx="9525" cy="3467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10</xdr:col>
      <xdr:colOff>571500</xdr:colOff>
      <xdr:row>15</xdr:row>
      <xdr:rowOff>190500</xdr:rowOff>
    </xdr:to>
    <xdr:sp>
      <xdr:nvSpPr>
        <xdr:cNvPr id="8" name="Line 10"/>
        <xdr:cNvSpPr>
          <a:spLocks/>
        </xdr:cNvSpPr>
      </xdr:nvSpPr>
      <xdr:spPr>
        <a:xfrm flipH="1" flipV="1">
          <a:off x="657225" y="4629150"/>
          <a:ext cx="76581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228600</xdr:rowOff>
    </xdr:from>
    <xdr:to>
      <xdr:col>7</xdr:col>
      <xdr:colOff>295275</xdr:colOff>
      <xdr:row>11</xdr:row>
      <xdr:rowOff>228600</xdr:rowOff>
    </xdr:to>
    <xdr:sp>
      <xdr:nvSpPr>
        <xdr:cNvPr id="9" name="Line 14"/>
        <xdr:cNvSpPr>
          <a:spLocks/>
        </xdr:cNvSpPr>
      </xdr:nvSpPr>
      <xdr:spPr>
        <a:xfrm flipV="1">
          <a:off x="3295650" y="2743200"/>
          <a:ext cx="1419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352425</xdr:rowOff>
    </xdr:from>
    <xdr:to>
      <xdr:col>19</xdr:col>
      <xdr:colOff>9525</xdr:colOff>
      <xdr:row>30</xdr:row>
      <xdr:rowOff>228600</xdr:rowOff>
    </xdr:to>
    <xdr:sp>
      <xdr:nvSpPr>
        <xdr:cNvPr id="10" name="Line 35"/>
        <xdr:cNvSpPr>
          <a:spLocks/>
        </xdr:cNvSpPr>
      </xdr:nvSpPr>
      <xdr:spPr>
        <a:xfrm flipV="1">
          <a:off x="13849350" y="5934075"/>
          <a:ext cx="0" cy="4791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114300</xdr:colOff>
      <xdr:row>26</xdr:row>
      <xdr:rowOff>152400</xdr:rowOff>
    </xdr:to>
    <xdr:sp>
      <xdr:nvSpPr>
        <xdr:cNvPr id="11" name="Line 49"/>
        <xdr:cNvSpPr>
          <a:spLocks/>
        </xdr:cNvSpPr>
      </xdr:nvSpPr>
      <xdr:spPr>
        <a:xfrm flipV="1">
          <a:off x="6886575" y="9229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342900</xdr:rowOff>
    </xdr:from>
    <xdr:to>
      <xdr:col>13</xdr:col>
      <xdr:colOff>9525</xdr:colOff>
      <xdr:row>20</xdr:row>
      <xdr:rowOff>342900</xdr:rowOff>
    </xdr:to>
    <xdr:sp>
      <xdr:nvSpPr>
        <xdr:cNvPr id="12" name="Line 73"/>
        <xdr:cNvSpPr>
          <a:spLocks/>
        </xdr:cNvSpPr>
      </xdr:nvSpPr>
      <xdr:spPr>
        <a:xfrm flipV="1">
          <a:off x="8848725" y="71913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0</xdr:rowOff>
    </xdr:from>
    <xdr:to>
      <xdr:col>5</xdr:col>
      <xdr:colOff>485775</xdr:colOff>
      <xdr:row>9</xdr:row>
      <xdr:rowOff>28575</xdr:rowOff>
    </xdr:to>
    <xdr:sp>
      <xdr:nvSpPr>
        <xdr:cNvPr id="13" name="Line 202"/>
        <xdr:cNvSpPr>
          <a:spLocks/>
        </xdr:cNvSpPr>
      </xdr:nvSpPr>
      <xdr:spPr>
        <a:xfrm>
          <a:off x="2533650" y="14001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6</xdr:row>
      <xdr:rowOff>381000</xdr:rowOff>
    </xdr:from>
    <xdr:to>
      <xdr:col>6</xdr:col>
      <xdr:colOff>542925</xdr:colOff>
      <xdr:row>9</xdr:row>
      <xdr:rowOff>0</xdr:rowOff>
    </xdr:to>
    <xdr:sp>
      <xdr:nvSpPr>
        <xdr:cNvPr id="14" name="Line 203"/>
        <xdr:cNvSpPr>
          <a:spLocks/>
        </xdr:cNvSpPr>
      </xdr:nvSpPr>
      <xdr:spPr>
        <a:xfrm flipV="1">
          <a:off x="3838575" y="1390650"/>
          <a:ext cx="0" cy="333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190500</xdr:rowOff>
    </xdr:from>
    <xdr:to>
      <xdr:col>13</xdr:col>
      <xdr:colOff>295275</xdr:colOff>
      <xdr:row>22</xdr:row>
      <xdr:rowOff>190500</xdr:rowOff>
    </xdr:to>
    <xdr:sp>
      <xdr:nvSpPr>
        <xdr:cNvPr id="15" name="Line 204"/>
        <xdr:cNvSpPr>
          <a:spLocks/>
        </xdr:cNvSpPr>
      </xdr:nvSpPr>
      <xdr:spPr>
        <a:xfrm>
          <a:off x="9258300" y="78771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6" name="Line 205"/>
        <xdr:cNvSpPr>
          <a:spLocks/>
        </xdr:cNvSpPr>
      </xdr:nvSpPr>
      <xdr:spPr>
        <a:xfrm>
          <a:off x="2571750" y="3181350"/>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428625</xdr:colOff>
      <xdr:row>15</xdr:row>
      <xdr:rowOff>190500</xdr:rowOff>
    </xdr:from>
    <xdr:to>
      <xdr:col>3</xdr:col>
      <xdr:colOff>428625</xdr:colOff>
      <xdr:row>16</xdr:row>
      <xdr:rowOff>9525</xdr:rowOff>
    </xdr:to>
    <xdr:sp>
      <xdr:nvSpPr>
        <xdr:cNvPr id="17" name="Line 206"/>
        <xdr:cNvSpPr>
          <a:spLocks/>
        </xdr:cNvSpPr>
      </xdr:nvSpPr>
      <xdr:spPr>
        <a:xfrm>
          <a:off x="67627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28575</xdr:rowOff>
    </xdr:to>
    <xdr:sp>
      <xdr:nvSpPr>
        <xdr:cNvPr id="18" name="Line 207"/>
        <xdr:cNvSpPr>
          <a:spLocks/>
        </xdr:cNvSpPr>
      </xdr:nvSpPr>
      <xdr:spPr>
        <a:xfrm>
          <a:off x="1314450" y="46291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47625</xdr:rowOff>
    </xdr:to>
    <xdr:sp>
      <xdr:nvSpPr>
        <xdr:cNvPr id="19" name="Line 208"/>
        <xdr:cNvSpPr>
          <a:spLocks/>
        </xdr:cNvSpPr>
      </xdr:nvSpPr>
      <xdr:spPr>
        <a:xfrm>
          <a:off x="2457450" y="46291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180975</xdr:rowOff>
    </xdr:from>
    <xdr:to>
      <xdr:col>6</xdr:col>
      <xdr:colOff>523875</xdr:colOff>
      <xdr:row>16</xdr:row>
      <xdr:rowOff>0</xdr:rowOff>
    </xdr:to>
    <xdr:sp>
      <xdr:nvSpPr>
        <xdr:cNvPr id="20" name="Line 209"/>
        <xdr:cNvSpPr>
          <a:spLocks/>
        </xdr:cNvSpPr>
      </xdr:nvSpPr>
      <xdr:spPr>
        <a:xfrm>
          <a:off x="3819525" y="46196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9525</xdr:rowOff>
    </xdr:to>
    <xdr:sp>
      <xdr:nvSpPr>
        <xdr:cNvPr id="21" name="Line 210"/>
        <xdr:cNvSpPr>
          <a:spLocks/>
        </xdr:cNvSpPr>
      </xdr:nvSpPr>
      <xdr:spPr>
        <a:xfrm>
          <a:off x="4933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9525</xdr:rowOff>
    </xdr:to>
    <xdr:sp>
      <xdr:nvSpPr>
        <xdr:cNvPr id="22" name="Line 211"/>
        <xdr:cNvSpPr>
          <a:spLocks/>
        </xdr:cNvSpPr>
      </xdr:nvSpPr>
      <xdr:spPr>
        <a:xfrm>
          <a:off x="6076950"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381000</xdr:colOff>
      <xdr:row>17</xdr:row>
      <xdr:rowOff>9525</xdr:rowOff>
    </xdr:from>
    <xdr:to>
      <xdr:col>3</xdr:col>
      <xdr:colOff>381000</xdr:colOff>
      <xdr:row>17</xdr:row>
      <xdr:rowOff>314325</xdr:rowOff>
    </xdr:to>
    <xdr:sp>
      <xdr:nvSpPr>
        <xdr:cNvPr id="23" name="Line 212"/>
        <xdr:cNvSpPr>
          <a:spLocks/>
        </xdr:cNvSpPr>
      </xdr:nvSpPr>
      <xdr:spPr>
        <a:xfrm>
          <a:off x="628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17</xdr:row>
      <xdr:rowOff>9525</xdr:rowOff>
    </xdr:from>
    <xdr:to>
      <xdr:col>4</xdr:col>
      <xdr:colOff>495300</xdr:colOff>
      <xdr:row>18</xdr:row>
      <xdr:rowOff>0</xdr:rowOff>
    </xdr:to>
    <xdr:sp>
      <xdr:nvSpPr>
        <xdr:cNvPr id="24" name="Line 213"/>
        <xdr:cNvSpPr>
          <a:spLocks/>
        </xdr:cNvSpPr>
      </xdr:nvSpPr>
      <xdr:spPr>
        <a:xfrm flipH="1">
          <a:off x="1476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17</xdr:row>
      <xdr:rowOff>9525</xdr:rowOff>
    </xdr:from>
    <xdr:to>
      <xdr:col>5</xdr:col>
      <xdr:colOff>485775</xdr:colOff>
      <xdr:row>18</xdr:row>
      <xdr:rowOff>0</xdr:rowOff>
    </xdr:to>
    <xdr:sp>
      <xdr:nvSpPr>
        <xdr:cNvPr id="25" name="Line 214"/>
        <xdr:cNvSpPr>
          <a:spLocks/>
        </xdr:cNvSpPr>
      </xdr:nvSpPr>
      <xdr:spPr>
        <a:xfrm flipH="1">
          <a:off x="253365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9525</xdr:rowOff>
    </xdr:from>
    <xdr:to>
      <xdr:col>6</xdr:col>
      <xdr:colOff>552450</xdr:colOff>
      <xdr:row>18</xdr:row>
      <xdr:rowOff>0</xdr:rowOff>
    </xdr:to>
    <xdr:sp>
      <xdr:nvSpPr>
        <xdr:cNvPr id="26" name="Line 215"/>
        <xdr:cNvSpPr>
          <a:spLocks/>
        </xdr:cNvSpPr>
      </xdr:nvSpPr>
      <xdr:spPr>
        <a:xfrm flipH="1">
          <a:off x="38481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17</xdr:row>
      <xdr:rowOff>9525</xdr:rowOff>
    </xdr:from>
    <xdr:to>
      <xdr:col>7</xdr:col>
      <xdr:colOff>533400</xdr:colOff>
      <xdr:row>18</xdr:row>
      <xdr:rowOff>0</xdr:rowOff>
    </xdr:to>
    <xdr:sp>
      <xdr:nvSpPr>
        <xdr:cNvPr id="27" name="Line 216"/>
        <xdr:cNvSpPr>
          <a:spLocks/>
        </xdr:cNvSpPr>
      </xdr:nvSpPr>
      <xdr:spPr>
        <a:xfrm flipH="1">
          <a:off x="4953000"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590550</xdr:colOff>
      <xdr:row>17</xdr:row>
      <xdr:rowOff>9525</xdr:rowOff>
    </xdr:from>
    <xdr:to>
      <xdr:col>8</xdr:col>
      <xdr:colOff>590550</xdr:colOff>
      <xdr:row>18</xdr:row>
      <xdr:rowOff>0</xdr:rowOff>
    </xdr:to>
    <xdr:sp>
      <xdr:nvSpPr>
        <xdr:cNvPr id="28" name="Line 217"/>
        <xdr:cNvSpPr>
          <a:spLocks/>
        </xdr:cNvSpPr>
      </xdr:nvSpPr>
      <xdr:spPr>
        <a:xfrm flipH="1">
          <a:off x="610552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123825</xdr:colOff>
      <xdr:row>22</xdr:row>
      <xdr:rowOff>304800</xdr:rowOff>
    </xdr:to>
    <xdr:sp>
      <xdr:nvSpPr>
        <xdr:cNvPr id="29" name="Line 218"/>
        <xdr:cNvSpPr>
          <a:spLocks/>
        </xdr:cNvSpPr>
      </xdr:nvSpPr>
      <xdr:spPr>
        <a:xfrm>
          <a:off x="8839200" y="799147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266700</xdr:rowOff>
    </xdr:from>
    <xdr:to>
      <xdr:col>12</xdr:col>
      <xdr:colOff>114300</xdr:colOff>
      <xdr:row>26</xdr:row>
      <xdr:rowOff>266700</xdr:rowOff>
    </xdr:to>
    <xdr:sp>
      <xdr:nvSpPr>
        <xdr:cNvPr id="30" name="Line 219"/>
        <xdr:cNvSpPr>
          <a:spLocks/>
        </xdr:cNvSpPr>
      </xdr:nvSpPr>
      <xdr:spPr>
        <a:xfrm flipV="1">
          <a:off x="8839200" y="93440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628650</xdr:colOff>
      <xdr:row>22</xdr:row>
      <xdr:rowOff>219075</xdr:rowOff>
    </xdr:from>
    <xdr:to>
      <xdr:col>15</xdr:col>
      <xdr:colOff>638175</xdr:colOff>
      <xdr:row>25</xdr:row>
      <xdr:rowOff>28575</xdr:rowOff>
    </xdr:to>
    <xdr:sp>
      <xdr:nvSpPr>
        <xdr:cNvPr id="31" name="Line 223"/>
        <xdr:cNvSpPr>
          <a:spLocks/>
        </xdr:cNvSpPr>
      </xdr:nvSpPr>
      <xdr:spPr>
        <a:xfrm flipH="1">
          <a:off x="10944225" y="7905750"/>
          <a:ext cx="9525" cy="1095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714375</xdr:colOff>
      <xdr:row>22</xdr:row>
      <xdr:rowOff>219075</xdr:rowOff>
    </xdr:from>
    <xdr:to>
      <xdr:col>16</xdr:col>
      <xdr:colOff>47625</xdr:colOff>
      <xdr:row>22</xdr:row>
      <xdr:rowOff>219075</xdr:rowOff>
    </xdr:to>
    <xdr:sp>
      <xdr:nvSpPr>
        <xdr:cNvPr id="32" name="Line 224"/>
        <xdr:cNvSpPr>
          <a:spLocks/>
        </xdr:cNvSpPr>
      </xdr:nvSpPr>
      <xdr:spPr>
        <a:xfrm>
          <a:off x="10267950" y="79057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771525</xdr:colOff>
      <xdr:row>22</xdr:row>
      <xdr:rowOff>219075</xdr:rowOff>
    </xdr:from>
    <xdr:to>
      <xdr:col>19</xdr:col>
      <xdr:colOff>47625</xdr:colOff>
      <xdr:row>22</xdr:row>
      <xdr:rowOff>219075</xdr:rowOff>
    </xdr:to>
    <xdr:sp>
      <xdr:nvSpPr>
        <xdr:cNvPr id="33" name="Line 230"/>
        <xdr:cNvSpPr>
          <a:spLocks/>
        </xdr:cNvSpPr>
      </xdr:nvSpPr>
      <xdr:spPr>
        <a:xfrm flipV="1">
          <a:off x="12153900" y="7905750"/>
          <a:ext cx="1733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3849350" y="864870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295275</xdr:rowOff>
    </xdr:from>
    <xdr:to>
      <xdr:col>19</xdr:col>
      <xdr:colOff>571500</xdr:colOff>
      <xdr:row>26</xdr:row>
      <xdr:rowOff>295275</xdr:rowOff>
    </xdr:to>
    <xdr:sp>
      <xdr:nvSpPr>
        <xdr:cNvPr id="35" name="Line 232"/>
        <xdr:cNvSpPr>
          <a:spLocks/>
        </xdr:cNvSpPr>
      </xdr:nvSpPr>
      <xdr:spPr>
        <a:xfrm flipV="1">
          <a:off x="13849350" y="937260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6" name="Line 233"/>
        <xdr:cNvSpPr>
          <a:spLocks/>
        </xdr:cNvSpPr>
      </xdr:nvSpPr>
      <xdr:spPr>
        <a:xfrm>
          <a:off x="13858875" y="10048875"/>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15</xdr:row>
      <xdr:rowOff>9525</xdr:rowOff>
    </xdr:from>
    <xdr:to>
      <xdr:col>7</xdr:col>
      <xdr:colOff>133350</xdr:colOff>
      <xdr:row>15</xdr:row>
      <xdr:rowOff>190500</xdr:rowOff>
    </xdr:to>
    <xdr:sp>
      <xdr:nvSpPr>
        <xdr:cNvPr id="37" name="Line 247"/>
        <xdr:cNvSpPr>
          <a:spLocks/>
        </xdr:cNvSpPr>
      </xdr:nvSpPr>
      <xdr:spPr>
        <a:xfrm flipV="1">
          <a:off x="4552950" y="44481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304800</xdr:rowOff>
    </xdr:from>
    <xdr:to>
      <xdr:col>20</xdr:col>
      <xdr:colOff>9525</xdr:colOff>
      <xdr:row>22</xdr:row>
      <xdr:rowOff>304800</xdr:rowOff>
    </xdr:to>
    <xdr:sp>
      <xdr:nvSpPr>
        <xdr:cNvPr id="38" name="Line 248"/>
        <xdr:cNvSpPr>
          <a:spLocks/>
        </xdr:cNvSpPr>
      </xdr:nvSpPr>
      <xdr:spPr>
        <a:xfrm flipV="1">
          <a:off x="13849350" y="799147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1095375</xdr:colOff>
      <xdr:row>10</xdr:row>
      <xdr:rowOff>152400</xdr:rowOff>
    </xdr:to>
    <xdr:sp>
      <xdr:nvSpPr>
        <xdr:cNvPr id="39" name="Line 14"/>
        <xdr:cNvSpPr>
          <a:spLocks/>
        </xdr:cNvSpPr>
      </xdr:nvSpPr>
      <xdr:spPr>
        <a:xfrm flipV="1">
          <a:off x="4714875" y="2295525"/>
          <a:ext cx="8001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123825</xdr:rowOff>
    </xdr:from>
    <xdr:to>
      <xdr:col>7</xdr:col>
      <xdr:colOff>295275</xdr:colOff>
      <xdr:row>12</xdr:row>
      <xdr:rowOff>190500</xdr:rowOff>
    </xdr:to>
    <xdr:sp>
      <xdr:nvSpPr>
        <xdr:cNvPr id="40" name="Line 14"/>
        <xdr:cNvSpPr>
          <a:spLocks/>
        </xdr:cNvSpPr>
      </xdr:nvSpPr>
      <xdr:spPr>
        <a:xfrm flipV="1">
          <a:off x="4714875" y="2266950"/>
          <a:ext cx="0" cy="10763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12</xdr:row>
      <xdr:rowOff>161925</xdr:rowOff>
    </xdr:from>
    <xdr:to>
      <xdr:col>7</xdr:col>
      <xdr:colOff>1095375</xdr:colOff>
      <xdr:row>12</xdr:row>
      <xdr:rowOff>161925</xdr:rowOff>
    </xdr:to>
    <xdr:sp>
      <xdr:nvSpPr>
        <xdr:cNvPr id="41" name="Line 14"/>
        <xdr:cNvSpPr>
          <a:spLocks/>
        </xdr:cNvSpPr>
      </xdr:nvSpPr>
      <xdr:spPr>
        <a:xfrm>
          <a:off x="4705350" y="3314700"/>
          <a:ext cx="8096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333375</xdr:rowOff>
    </xdr:from>
    <xdr:to>
      <xdr:col>20</xdr:col>
      <xdr:colOff>9525</xdr:colOff>
      <xdr:row>20</xdr:row>
      <xdr:rowOff>333375</xdr:rowOff>
    </xdr:to>
    <xdr:sp>
      <xdr:nvSpPr>
        <xdr:cNvPr id="42" name="Line 248"/>
        <xdr:cNvSpPr>
          <a:spLocks/>
        </xdr:cNvSpPr>
      </xdr:nvSpPr>
      <xdr:spPr>
        <a:xfrm flipV="1">
          <a:off x="13849350" y="71818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9525</xdr:rowOff>
    </xdr:to>
    <xdr:sp>
      <xdr:nvSpPr>
        <xdr:cNvPr id="43" name="Line 211"/>
        <xdr:cNvSpPr>
          <a:spLocks/>
        </xdr:cNvSpPr>
      </xdr:nvSpPr>
      <xdr:spPr>
        <a:xfrm>
          <a:off x="7172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571500</xdr:colOff>
      <xdr:row>15</xdr:row>
      <xdr:rowOff>190500</xdr:rowOff>
    </xdr:from>
    <xdr:to>
      <xdr:col>10</xdr:col>
      <xdr:colOff>571500</xdr:colOff>
      <xdr:row>16</xdr:row>
      <xdr:rowOff>9525</xdr:rowOff>
    </xdr:to>
    <xdr:sp>
      <xdr:nvSpPr>
        <xdr:cNvPr id="44" name="Line 211"/>
        <xdr:cNvSpPr>
          <a:spLocks/>
        </xdr:cNvSpPr>
      </xdr:nvSpPr>
      <xdr:spPr>
        <a:xfrm>
          <a:off x="8315325" y="46291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9525</xdr:rowOff>
    </xdr:from>
    <xdr:to>
      <xdr:col>9</xdr:col>
      <xdr:colOff>581025</xdr:colOff>
      <xdr:row>18</xdr:row>
      <xdr:rowOff>0</xdr:rowOff>
    </xdr:to>
    <xdr:sp>
      <xdr:nvSpPr>
        <xdr:cNvPr id="45" name="Line 217"/>
        <xdr:cNvSpPr>
          <a:spLocks/>
        </xdr:cNvSpPr>
      </xdr:nvSpPr>
      <xdr:spPr>
        <a:xfrm flipH="1">
          <a:off x="7191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17</xdr:row>
      <xdr:rowOff>9525</xdr:rowOff>
    </xdr:from>
    <xdr:to>
      <xdr:col>10</xdr:col>
      <xdr:colOff>590550</xdr:colOff>
      <xdr:row>18</xdr:row>
      <xdr:rowOff>0</xdr:rowOff>
    </xdr:to>
    <xdr:sp>
      <xdr:nvSpPr>
        <xdr:cNvPr id="46" name="Line 217"/>
        <xdr:cNvSpPr>
          <a:spLocks/>
        </xdr:cNvSpPr>
      </xdr:nvSpPr>
      <xdr:spPr>
        <a:xfrm>
          <a:off x="8334375" y="52768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342900</xdr:rowOff>
    </xdr:from>
    <xdr:to>
      <xdr:col>20</xdr:col>
      <xdr:colOff>9525</xdr:colOff>
      <xdr:row>18</xdr:row>
      <xdr:rowOff>342900</xdr:rowOff>
    </xdr:to>
    <xdr:sp>
      <xdr:nvSpPr>
        <xdr:cNvPr id="47" name="Line 248"/>
        <xdr:cNvSpPr>
          <a:spLocks/>
        </xdr:cNvSpPr>
      </xdr:nvSpPr>
      <xdr:spPr>
        <a:xfrm flipV="1">
          <a:off x="13849350" y="5924550"/>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228600</xdr:rowOff>
    </xdr:from>
    <xdr:to>
      <xdr:col>20</xdr:col>
      <xdr:colOff>0</xdr:colOff>
      <xdr:row>30</xdr:row>
      <xdr:rowOff>228600</xdr:rowOff>
    </xdr:to>
    <xdr:sp>
      <xdr:nvSpPr>
        <xdr:cNvPr id="48" name="Line 233"/>
        <xdr:cNvSpPr>
          <a:spLocks/>
        </xdr:cNvSpPr>
      </xdr:nvSpPr>
      <xdr:spPr>
        <a:xfrm>
          <a:off x="13858875" y="107251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123825</xdr:colOff>
      <xdr:row>18</xdr:row>
      <xdr:rowOff>295275</xdr:rowOff>
    </xdr:to>
    <xdr:sp>
      <xdr:nvSpPr>
        <xdr:cNvPr id="49" name="Line 204"/>
        <xdr:cNvSpPr>
          <a:spLocks/>
        </xdr:cNvSpPr>
      </xdr:nvSpPr>
      <xdr:spPr>
        <a:xfrm>
          <a:off x="8848725" y="587692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209550</xdr:colOff>
      <xdr:row>20</xdr:row>
      <xdr:rowOff>276225</xdr:rowOff>
    </xdr:from>
    <xdr:to>
      <xdr:col>6</xdr:col>
      <xdr:colOff>209550</xdr:colOff>
      <xdr:row>24</xdr:row>
      <xdr:rowOff>9525</xdr:rowOff>
    </xdr:to>
    <xdr:sp>
      <xdr:nvSpPr>
        <xdr:cNvPr id="50" name="Line 223"/>
        <xdr:cNvSpPr>
          <a:spLocks/>
        </xdr:cNvSpPr>
      </xdr:nvSpPr>
      <xdr:spPr>
        <a:xfrm>
          <a:off x="3505200" y="7124700"/>
          <a:ext cx="0" cy="1266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1085850</xdr:colOff>
      <xdr:row>24</xdr:row>
      <xdr:rowOff>266700</xdr:rowOff>
    </xdr:from>
    <xdr:to>
      <xdr:col>12</xdr:col>
      <xdr:colOff>104775</xdr:colOff>
      <xdr:row>24</xdr:row>
      <xdr:rowOff>266700</xdr:rowOff>
    </xdr:to>
    <xdr:sp>
      <xdr:nvSpPr>
        <xdr:cNvPr id="51" name="Line 219"/>
        <xdr:cNvSpPr>
          <a:spLocks/>
        </xdr:cNvSpPr>
      </xdr:nvSpPr>
      <xdr:spPr>
        <a:xfrm flipV="1">
          <a:off x="8829675" y="8648700"/>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1009650</xdr:colOff>
      <xdr:row>19</xdr:row>
      <xdr:rowOff>0</xdr:rowOff>
    </xdr:from>
    <xdr:to>
      <xdr:col>5</xdr:col>
      <xdr:colOff>1009650</xdr:colOff>
      <xdr:row>20</xdr:row>
      <xdr:rowOff>304800</xdr:rowOff>
    </xdr:to>
    <xdr:sp>
      <xdr:nvSpPr>
        <xdr:cNvPr id="52" name="Line 9"/>
        <xdr:cNvSpPr>
          <a:spLocks/>
        </xdr:cNvSpPr>
      </xdr:nvSpPr>
      <xdr:spPr>
        <a:xfrm flipH="1">
          <a:off x="3057525" y="6677025"/>
          <a:ext cx="0" cy="476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1028700</xdr:colOff>
      <xdr:row>20</xdr:row>
      <xdr:rowOff>304800</xdr:rowOff>
    </xdr:from>
    <xdr:to>
      <xdr:col>9</xdr:col>
      <xdr:colOff>0</xdr:colOff>
      <xdr:row>20</xdr:row>
      <xdr:rowOff>304800</xdr:rowOff>
    </xdr:to>
    <xdr:sp>
      <xdr:nvSpPr>
        <xdr:cNvPr id="53" name="Line 73"/>
        <xdr:cNvSpPr>
          <a:spLocks/>
        </xdr:cNvSpPr>
      </xdr:nvSpPr>
      <xdr:spPr>
        <a:xfrm>
          <a:off x="3076575" y="7153275"/>
          <a:ext cx="3533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28575</xdr:rowOff>
    </xdr:from>
    <xdr:to>
      <xdr:col>13</xdr:col>
      <xdr:colOff>104775</xdr:colOff>
      <xdr:row>29</xdr:row>
      <xdr:rowOff>28575</xdr:rowOff>
    </xdr:to>
    <xdr:sp>
      <xdr:nvSpPr>
        <xdr:cNvPr id="1" name="Line 21"/>
        <xdr:cNvSpPr>
          <a:spLocks/>
        </xdr:cNvSpPr>
      </xdr:nvSpPr>
      <xdr:spPr>
        <a:xfrm flipH="1">
          <a:off x="5295900" y="70580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238125</xdr:rowOff>
    </xdr:from>
    <xdr:to>
      <xdr:col>7</xdr:col>
      <xdr:colOff>104775</xdr:colOff>
      <xdr:row>26</xdr:row>
      <xdr:rowOff>238125</xdr:rowOff>
    </xdr:to>
    <xdr:sp>
      <xdr:nvSpPr>
        <xdr:cNvPr id="2" name="Line 22"/>
        <xdr:cNvSpPr>
          <a:spLocks/>
        </xdr:cNvSpPr>
      </xdr:nvSpPr>
      <xdr:spPr>
        <a:xfrm>
          <a:off x="3781425"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438775"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29</xdr:row>
      <xdr:rowOff>257175</xdr:rowOff>
    </xdr:from>
    <xdr:to>
      <xdr:col>17</xdr:col>
      <xdr:colOff>381000</xdr:colOff>
      <xdr:row>29</xdr:row>
      <xdr:rowOff>257175</xdr:rowOff>
    </xdr:to>
    <xdr:sp>
      <xdr:nvSpPr>
        <xdr:cNvPr id="4" name="Line 20"/>
        <xdr:cNvSpPr>
          <a:spLocks/>
        </xdr:cNvSpPr>
      </xdr:nvSpPr>
      <xdr:spPr>
        <a:xfrm flipV="1">
          <a:off x="6086475" y="7696200"/>
          <a:ext cx="49530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381000</xdr:colOff>
      <xdr:row>28</xdr:row>
      <xdr:rowOff>152400</xdr:rowOff>
    </xdr:from>
    <xdr:to>
      <xdr:col>17</xdr:col>
      <xdr:colOff>381000</xdr:colOff>
      <xdr:row>30</xdr:row>
      <xdr:rowOff>190500</xdr:rowOff>
    </xdr:to>
    <xdr:sp>
      <xdr:nvSpPr>
        <xdr:cNvPr id="5" name="Line 18"/>
        <xdr:cNvSpPr>
          <a:spLocks/>
        </xdr:cNvSpPr>
      </xdr:nvSpPr>
      <xdr:spPr>
        <a:xfrm>
          <a:off x="6581775" y="718185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352425</xdr:colOff>
      <xdr:row>28</xdr:row>
      <xdr:rowOff>161925</xdr:rowOff>
    </xdr:from>
    <xdr:to>
      <xdr:col>21</xdr:col>
      <xdr:colOff>9525</xdr:colOff>
      <xdr:row>28</xdr:row>
      <xdr:rowOff>161925</xdr:rowOff>
    </xdr:to>
    <xdr:sp>
      <xdr:nvSpPr>
        <xdr:cNvPr id="6" name="Line 20"/>
        <xdr:cNvSpPr>
          <a:spLocks/>
        </xdr:cNvSpPr>
      </xdr:nvSpPr>
      <xdr:spPr>
        <a:xfrm flipV="1">
          <a:off x="6553200" y="7191375"/>
          <a:ext cx="66675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361950</xdr:colOff>
      <xdr:row>30</xdr:row>
      <xdr:rowOff>190500</xdr:rowOff>
    </xdr:from>
    <xdr:to>
      <xdr:col>21</xdr:col>
      <xdr:colOff>9525</xdr:colOff>
      <xdr:row>30</xdr:row>
      <xdr:rowOff>190500</xdr:rowOff>
    </xdr:to>
    <xdr:sp>
      <xdr:nvSpPr>
        <xdr:cNvPr id="7" name="Line 20"/>
        <xdr:cNvSpPr>
          <a:spLocks/>
        </xdr:cNvSpPr>
      </xdr:nvSpPr>
      <xdr:spPr>
        <a:xfrm>
          <a:off x="6562725" y="8191500"/>
          <a:ext cx="6572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276225</xdr:rowOff>
    </xdr:from>
    <xdr:to>
      <xdr:col>12</xdr:col>
      <xdr:colOff>9525</xdr:colOff>
      <xdr:row>29</xdr:row>
      <xdr:rowOff>276225</xdr:rowOff>
    </xdr:to>
    <xdr:sp>
      <xdr:nvSpPr>
        <xdr:cNvPr id="8" name="Line 19"/>
        <xdr:cNvSpPr>
          <a:spLocks/>
        </xdr:cNvSpPr>
      </xdr:nvSpPr>
      <xdr:spPr>
        <a:xfrm flipV="1">
          <a:off x="4191000" y="7715250"/>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152400</xdr:rowOff>
    </xdr:from>
    <xdr:to>
      <xdr:col>4</xdr:col>
      <xdr:colOff>247650</xdr:colOff>
      <xdr:row>51</xdr:row>
      <xdr:rowOff>152400</xdr:rowOff>
    </xdr:to>
    <xdr:sp>
      <xdr:nvSpPr>
        <xdr:cNvPr id="1" name="Line 21"/>
        <xdr:cNvSpPr>
          <a:spLocks/>
        </xdr:cNvSpPr>
      </xdr:nvSpPr>
      <xdr:spPr>
        <a:xfrm rot="10800000" flipV="1">
          <a:off x="2705100" y="131921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152400</xdr:rowOff>
    </xdr:from>
    <xdr:to>
      <xdr:col>4</xdr:col>
      <xdr:colOff>238125</xdr:colOff>
      <xdr:row>53</xdr:row>
      <xdr:rowOff>152400</xdr:rowOff>
    </xdr:to>
    <xdr:sp>
      <xdr:nvSpPr>
        <xdr:cNvPr id="2" name="Line 21"/>
        <xdr:cNvSpPr>
          <a:spLocks/>
        </xdr:cNvSpPr>
      </xdr:nvSpPr>
      <xdr:spPr>
        <a:xfrm rot="10800000" flipV="1">
          <a:off x="2714625" y="13554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152400</xdr:rowOff>
    </xdr:from>
    <xdr:to>
      <xdr:col>4</xdr:col>
      <xdr:colOff>238125</xdr:colOff>
      <xdr:row>55</xdr:row>
      <xdr:rowOff>152400</xdr:rowOff>
    </xdr:to>
    <xdr:sp>
      <xdr:nvSpPr>
        <xdr:cNvPr id="3" name="Line 21"/>
        <xdr:cNvSpPr>
          <a:spLocks/>
        </xdr:cNvSpPr>
      </xdr:nvSpPr>
      <xdr:spPr>
        <a:xfrm rot="10800000" flipV="1">
          <a:off x="2705100" y="13916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180975</xdr:rowOff>
    </xdr:from>
    <xdr:to>
      <xdr:col>4</xdr:col>
      <xdr:colOff>247650</xdr:colOff>
      <xdr:row>61</xdr:row>
      <xdr:rowOff>180975</xdr:rowOff>
    </xdr:to>
    <xdr:sp>
      <xdr:nvSpPr>
        <xdr:cNvPr id="4" name="Line 21"/>
        <xdr:cNvSpPr>
          <a:spLocks/>
        </xdr:cNvSpPr>
      </xdr:nvSpPr>
      <xdr:spPr>
        <a:xfrm rot="10800000" flipV="1">
          <a:off x="2714625" y="15097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190500</xdr:rowOff>
    </xdr:from>
    <xdr:to>
      <xdr:col>4</xdr:col>
      <xdr:colOff>247650</xdr:colOff>
      <xdr:row>63</xdr:row>
      <xdr:rowOff>190500</xdr:rowOff>
    </xdr:to>
    <xdr:sp>
      <xdr:nvSpPr>
        <xdr:cNvPr id="5" name="Line 21"/>
        <xdr:cNvSpPr>
          <a:spLocks/>
        </xdr:cNvSpPr>
      </xdr:nvSpPr>
      <xdr:spPr>
        <a:xfrm rot="10800000" flipV="1">
          <a:off x="2714625" y="155352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180975</xdr:rowOff>
    </xdr:from>
    <xdr:to>
      <xdr:col>4</xdr:col>
      <xdr:colOff>266700</xdr:colOff>
      <xdr:row>65</xdr:row>
      <xdr:rowOff>180975</xdr:rowOff>
    </xdr:to>
    <xdr:sp>
      <xdr:nvSpPr>
        <xdr:cNvPr id="6" name="Line 21"/>
        <xdr:cNvSpPr>
          <a:spLocks/>
        </xdr:cNvSpPr>
      </xdr:nvSpPr>
      <xdr:spPr>
        <a:xfrm rot="10800000">
          <a:off x="2705100" y="1588770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123825</xdr:rowOff>
    </xdr:from>
    <xdr:to>
      <xdr:col>9</xdr:col>
      <xdr:colOff>152400</xdr:colOff>
      <xdr:row>49</xdr:row>
      <xdr:rowOff>123825</xdr:rowOff>
    </xdr:to>
    <xdr:sp>
      <xdr:nvSpPr>
        <xdr:cNvPr id="7" name="Line 21"/>
        <xdr:cNvSpPr>
          <a:spLocks/>
        </xdr:cNvSpPr>
      </xdr:nvSpPr>
      <xdr:spPr>
        <a:xfrm rot="10800000">
          <a:off x="4371975" y="126492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49</xdr:row>
      <xdr:rowOff>123825</xdr:rowOff>
    </xdr:from>
    <xdr:to>
      <xdr:col>9</xdr:col>
      <xdr:colOff>123825</xdr:colOff>
      <xdr:row>59</xdr:row>
      <xdr:rowOff>142875</xdr:rowOff>
    </xdr:to>
    <xdr:sp>
      <xdr:nvSpPr>
        <xdr:cNvPr id="8" name="Line 18"/>
        <xdr:cNvSpPr>
          <a:spLocks/>
        </xdr:cNvSpPr>
      </xdr:nvSpPr>
      <xdr:spPr>
        <a:xfrm>
          <a:off x="4600575" y="12649200"/>
          <a:ext cx="0" cy="2047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51</xdr:row>
      <xdr:rowOff>180975</xdr:rowOff>
    </xdr:from>
    <xdr:to>
      <xdr:col>9</xdr:col>
      <xdr:colOff>123825</xdr:colOff>
      <xdr:row>51</xdr:row>
      <xdr:rowOff>190500</xdr:rowOff>
    </xdr:to>
    <xdr:sp>
      <xdr:nvSpPr>
        <xdr:cNvPr id="9" name="Line 21"/>
        <xdr:cNvSpPr>
          <a:spLocks/>
        </xdr:cNvSpPr>
      </xdr:nvSpPr>
      <xdr:spPr>
        <a:xfrm rot="10800000" flipV="1">
          <a:off x="4362450" y="13220700"/>
          <a:ext cx="238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55</xdr:row>
      <xdr:rowOff>152400</xdr:rowOff>
    </xdr:from>
    <xdr:to>
      <xdr:col>9</xdr:col>
      <xdr:colOff>123825</xdr:colOff>
      <xdr:row>55</xdr:row>
      <xdr:rowOff>161925</xdr:rowOff>
    </xdr:to>
    <xdr:sp>
      <xdr:nvSpPr>
        <xdr:cNvPr id="10" name="Line 21"/>
        <xdr:cNvSpPr>
          <a:spLocks/>
        </xdr:cNvSpPr>
      </xdr:nvSpPr>
      <xdr:spPr>
        <a:xfrm rot="10800000" flipV="1">
          <a:off x="4352925" y="13916025"/>
          <a:ext cx="2476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123825</xdr:rowOff>
    </xdr:from>
    <xdr:to>
      <xdr:col>9</xdr:col>
      <xdr:colOff>152400</xdr:colOff>
      <xdr:row>59</xdr:row>
      <xdr:rowOff>123825</xdr:rowOff>
    </xdr:to>
    <xdr:sp>
      <xdr:nvSpPr>
        <xdr:cNvPr id="11" name="Line 21"/>
        <xdr:cNvSpPr>
          <a:spLocks/>
        </xdr:cNvSpPr>
      </xdr:nvSpPr>
      <xdr:spPr>
        <a:xfrm rot="10800000">
          <a:off x="4371975" y="146780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55</xdr:row>
      <xdr:rowOff>9525</xdr:rowOff>
    </xdr:from>
    <xdr:to>
      <xdr:col>11</xdr:col>
      <xdr:colOff>38100</xdr:colOff>
      <xdr:row>55</xdr:row>
      <xdr:rowOff>9525</xdr:rowOff>
    </xdr:to>
    <xdr:sp>
      <xdr:nvSpPr>
        <xdr:cNvPr id="12" name="Line 21"/>
        <xdr:cNvSpPr>
          <a:spLocks/>
        </xdr:cNvSpPr>
      </xdr:nvSpPr>
      <xdr:spPr>
        <a:xfrm rot="10800000">
          <a:off x="4638675" y="137731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50</xdr:row>
      <xdr:rowOff>9525</xdr:rowOff>
    </xdr:from>
    <xdr:to>
      <xdr:col>4</xdr:col>
      <xdr:colOff>238125</xdr:colOff>
      <xdr:row>65</xdr:row>
      <xdr:rowOff>180975</xdr:rowOff>
    </xdr:to>
    <xdr:sp>
      <xdr:nvSpPr>
        <xdr:cNvPr id="13" name="Line 18"/>
        <xdr:cNvSpPr>
          <a:spLocks/>
        </xdr:cNvSpPr>
      </xdr:nvSpPr>
      <xdr:spPr>
        <a:xfrm flipH="1">
          <a:off x="2943225" y="12792075"/>
          <a:ext cx="0" cy="30956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209550</xdr:colOff>
      <xdr:row>55</xdr:row>
      <xdr:rowOff>0</xdr:rowOff>
    </xdr:to>
    <xdr:sp>
      <xdr:nvSpPr>
        <xdr:cNvPr id="14" name="Line 21"/>
        <xdr:cNvSpPr>
          <a:spLocks/>
        </xdr:cNvSpPr>
      </xdr:nvSpPr>
      <xdr:spPr>
        <a:xfrm rot="10800000" flipV="1">
          <a:off x="7010400" y="137636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53</xdr:row>
      <xdr:rowOff>9525</xdr:rowOff>
    </xdr:from>
    <xdr:to>
      <xdr:col>23</xdr:col>
      <xdr:colOff>180975</xdr:colOff>
      <xdr:row>65</xdr:row>
      <xdr:rowOff>104775</xdr:rowOff>
    </xdr:to>
    <xdr:sp>
      <xdr:nvSpPr>
        <xdr:cNvPr id="15" name="Line 18"/>
        <xdr:cNvSpPr>
          <a:spLocks/>
        </xdr:cNvSpPr>
      </xdr:nvSpPr>
      <xdr:spPr>
        <a:xfrm>
          <a:off x="8191500" y="13411200"/>
          <a:ext cx="0" cy="2400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57</xdr:row>
      <xdr:rowOff>114300</xdr:rowOff>
    </xdr:from>
    <xdr:to>
      <xdr:col>26</xdr:col>
      <xdr:colOff>19050</xdr:colOff>
      <xdr:row>57</xdr:row>
      <xdr:rowOff>114300</xdr:rowOff>
    </xdr:to>
    <xdr:sp>
      <xdr:nvSpPr>
        <xdr:cNvPr id="16" name="Line 21"/>
        <xdr:cNvSpPr>
          <a:spLocks/>
        </xdr:cNvSpPr>
      </xdr:nvSpPr>
      <xdr:spPr>
        <a:xfrm rot="10800000">
          <a:off x="8191500" y="14306550"/>
          <a:ext cx="752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59</xdr:row>
      <xdr:rowOff>114300</xdr:rowOff>
    </xdr:from>
    <xdr:to>
      <xdr:col>26</xdr:col>
      <xdr:colOff>19050</xdr:colOff>
      <xdr:row>59</xdr:row>
      <xdr:rowOff>114300</xdr:rowOff>
    </xdr:to>
    <xdr:sp>
      <xdr:nvSpPr>
        <xdr:cNvPr id="17" name="Line 21"/>
        <xdr:cNvSpPr>
          <a:spLocks/>
        </xdr:cNvSpPr>
      </xdr:nvSpPr>
      <xdr:spPr>
        <a:xfrm rot="10800000" flipV="1">
          <a:off x="8220075" y="146685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65</xdr:row>
      <xdr:rowOff>76200</xdr:rowOff>
    </xdr:from>
    <xdr:to>
      <xdr:col>26</xdr:col>
      <xdr:colOff>19050</xdr:colOff>
      <xdr:row>65</xdr:row>
      <xdr:rowOff>76200</xdr:rowOff>
    </xdr:to>
    <xdr:sp>
      <xdr:nvSpPr>
        <xdr:cNvPr id="18" name="Line 21"/>
        <xdr:cNvSpPr>
          <a:spLocks/>
        </xdr:cNvSpPr>
      </xdr:nvSpPr>
      <xdr:spPr>
        <a:xfrm rot="10800000" flipV="1">
          <a:off x="8220075" y="15782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61</xdr:row>
      <xdr:rowOff>114300</xdr:rowOff>
    </xdr:from>
    <xdr:to>
      <xdr:col>26</xdr:col>
      <xdr:colOff>0</xdr:colOff>
      <xdr:row>61</xdr:row>
      <xdr:rowOff>114300</xdr:rowOff>
    </xdr:to>
    <xdr:sp>
      <xdr:nvSpPr>
        <xdr:cNvPr id="19" name="Line 21"/>
        <xdr:cNvSpPr>
          <a:spLocks/>
        </xdr:cNvSpPr>
      </xdr:nvSpPr>
      <xdr:spPr>
        <a:xfrm rot="10800000" flipV="1">
          <a:off x="8191500" y="150304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63</xdr:row>
      <xdr:rowOff>104775</xdr:rowOff>
    </xdr:from>
    <xdr:to>
      <xdr:col>26</xdr:col>
      <xdr:colOff>9525</xdr:colOff>
      <xdr:row>63</xdr:row>
      <xdr:rowOff>104775</xdr:rowOff>
    </xdr:to>
    <xdr:sp>
      <xdr:nvSpPr>
        <xdr:cNvPr id="20" name="Line 21"/>
        <xdr:cNvSpPr>
          <a:spLocks/>
        </xdr:cNvSpPr>
      </xdr:nvSpPr>
      <xdr:spPr>
        <a:xfrm rot="10800000" flipV="1">
          <a:off x="8191500" y="154495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55</xdr:row>
      <xdr:rowOff>9525</xdr:rowOff>
    </xdr:from>
    <xdr:to>
      <xdr:col>16</xdr:col>
      <xdr:colOff>0</xdr:colOff>
      <xdr:row>62</xdr:row>
      <xdr:rowOff>85725</xdr:rowOff>
    </xdr:to>
    <xdr:grpSp>
      <xdr:nvGrpSpPr>
        <xdr:cNvPr id="21" name="Group 2"/>
        <xdr:cNvGrpSpPr>
          <a:grpSpLocks/>
        </xdr:cNvGrpSpPr>
      </xdr:nvGrpSpPr>
      <xdr:grpSpPr>
        <a:xfrm flipH="1">
          <a:off x="5876925" y="13773150"/>
          <a:ext cx="514350" cy="15525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190500</xdr:rowOff>
    </xdr:from>
    <xdr:to>
      <xdr:col>4</xdr:col>
      <xdr:colOff>238125</xdr:colOff>
      <xdr:row>57</xdr:row>
      <xdr:rowOff>190500</xdr:rowOff>
    </xdr:to>
    <xdr:sp>
      <xdr:nvSpPr>
        <xdr:cNvPr id="24" name="Line 21"/>
        <xdr:cNvSpPr>
          <a:spLocks/>
        </xdr:cNvSpPr>
      </xdr:nvSpPr>
      <xdr:spPr>
        <a:xfrm rot="10800000" flipV="1">
          <a:off x="2705100" y="143827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190500</xdr:rowOff>
    </xdr:from>
    <xdr:to>
      <xdr:col>4</xdr:col>
      <xdr:colOff>247650</xdr:colOff>
      <xdr:row>59</xdr:row>
      <xdr:rowOff>190500</xdr:rowOff>
    </xdr:to>
    <xdr:sp>
      <xdr:nvSpPr>
        <xdr:cNvPr id="25" name="Line 21"/>
        <xdr:cNvSpPr>
          <a:spLocks/>
        </xdr:cNvSpPr>
      </xdr:nvSpPr>
      <xdr:spPr>
        <a:xfrm rot="10800000" flipV="1">
          <a:off x="2714625" y="147447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53</xdr:row>
      <xdr:rowOff>38100</xdr:rowOff>
    </xdr:from>
    <xdr:to>
      <xdr:col>26</xdr:col>
      <xdr:colOff>19050</xdr:colOff>
      <xdr:row>53</xdr:row>
      <xdr:rowOff>38100</xdr:rowOff>
    </xdr:to>
    <xdr:sp>
      <xdr:nvSpPr>
        <xdr:cNvPr id="26" name="Line 21"/>
        <xdr:cNvSpPr>
          <a:spLocks/>
        </xdr:cNvSpPr>
      </xdr:nvSpPr>
      <xdr:spPr>
        <a:xfrm rot="10800000">
          <a:off x="8220075" y="134397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55</xdr:row>
      <xdr:rowOff>47625</xdr:rowOff>
    </xdr:from>
    <xdr:to>
      <xdr:col>26</xdr:col>
      <xdr:colOff>9525</xdr:colOff>
      <xdr:row>55</xdr:row>
      <xdr:rowOff>47625</xdr:rowOff>
    </xdr:to>
    <xdr:sp>
      <xdr:nvSpPr>
        <xdr:cNvPr id="27" name="Line 21"/>
        <xdr:cNvSpPr>
          <a:spLocks/>
        </xdr:cNvSpPr>
      </xdr:nvSpPr>
      <xdr:spPr>
        <a:xfrm rot="10800000">
          <a:off x="8191500" y="13811250"/>
          <a:ext cx="74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47</xdr:row>
      <xdr:rowOff>180975</xdr:rowOff>
    </xdr:from>
    <xdr:to>
      <xdr:col>3</xdr:col>
      <xdr:colOff>1066800</xdr:colOff>
      <xdr:row>49</xdr:row>
      <xdr:rowOff>123825</xdr:rowOff>
    </xdr:to>
    <xdr:sp>
      <xdr:nvSpPr>
        <xdr:cNvPr id="28" name="Line 18"/>
        <xdr:cNvSpPr>
          <a:spLocks/>
        </xdr:cNvSpPr>
      </xdr:nvSpPr>
      <xdr:spPr>
        <a:xfrm flipH="1">
          <a:off x="1476375" y="12325350"/>
          <a:ext cx="0" cy="3238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1076325</xdr:colOff>
      <xdr:row>49</xdr:row>
      <xdr:rowOff>123825</xdr:rowOff>
    </xdr:from>
    <xdr:to>
      <xdr:col>3</xdr:col>
      <xdr:colOff>2295525</xdr:colOff>
      <xdr:row>49</xdr:row>
      <xdr:rowOff>123825</xdr:rowOff>
    </xdr:to>
    <xdr:sp>
      <xdr:nvSpPr>
        <xdr:cNvPr id="29" name="Line 21"/>
        <xdr:cNvSpPr>
          <a:spLocks/>
        </xdr:cNvSpPr>
      </xdr:nvSpPr>
      <xdr:spPr>
        <a:xfrm rot="10800000" flipV="1">
          <a:off x="1485900" y="12649200"/>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1066800</xdr:colOff>
      <xdr:row>48</xdr:row>
      <xdr:rowOff>76200</xdr:rowOff>
    </xdr:from>
    <xdr:to>
      <xdr:col>8</xdr:col>
      <xdr:colOff>95250</xdr:colOff>
      <xdr:row>48</xdr:row>
      <xdr:rowOff>85725</xdr:rowOff>
    </xdr:to>
    <xdr:sp>
      <xdr:nvSpPr>
        <xdr:cNvPr id="30" name="Line 223"/>
        <xdr:cNvSpPr>
          <a:spLocks/>
        </xdr:cNvSpPr>
      </xdr:nvSpPr>
      <xdr:spPr>
        <a:xfrm flipH="1">
          <a:off x="1476375" y="12411075"/>
          <a:ext cx="2990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323850</xdr:colOff>
      <xdr:row>31</xdr:row>
      <xdr:rowOff>142875</xdr:rowOff>
    </xdr:from>
    <xdr:to>
      <xdr:col>17</xdr:col>
      <xdr:colOff>323850</xdr:colOff>
      <xdr:row>43</xdr:row>
      <xdr:rowOff>238125</xdr:rowOff>
    </xdr:to>
    <xdr:sp>
      <xdr:nvSpPr>
        <xdr:cNvPr id="1" name="Line 18"/>
        <xdr:cNvSpPr>
          <a:spLocks/>
        </xdr:cNvSpPr>
      </xdr:nvSpPr>
      <xdr:spPr>
        <a:xfrm flipH="1">
          <a:off x="6600825" y="6105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28575</xdr:rowOff>
    </xdr:from>
    <xdr:to>
      <xdr:col>17</xdr:col>
      <xdr:colOff>323850</xdr:colOff>
      <xdr:row>35</xdr:row>
      <xdr:rowOff>28575</xdr:rowOff>
    </xdr:to>
    <xdr:sp>
      <xdr:nvSpPr>
        <xdr:cNvPr id="2" name="Line 17"/>
        <xdr:cNvSpPr>
          <a:spLocks/>
        </xdr:cNvSpPr>
      </xdr:nvSpPr>
      <xdr:spPr>
        <a:xfrm flipH="1" flipV="1">
          <a:off x="5676900" y="6105525"/>
          <a:ext cx="923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228600</xdr:rowOff>
    </xdr:from>
    <xdr:to>
      <xdr:col>20</xdr:col>
      <xdr:colOff>9525</xdr:colOff>
      <xdr:row>43</xdr:row>
      <xdr:rowOff>228600</xdr:rowOff>
    </xdr:to>
    <xdr:sp>
      <xdr:nvSpPr>
        <xdr:cNvPr id="3" name="Line 23"/>
        <xdr:cNvSpPr>
          <a:spLocks/>
        </xdr:cNvSpPr>
      </xdr:nvSpPr>
      <xdr:spPr>
        <a:xfrm flipH="1" flipV="1">
          <a:off x="6600825" y="6105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2105025</xdr:colOff>
      <xdr:row>33</xdr:row>
      <xdr:rowOff>228600</xdr:rowOff>
    </xdr:from>
    <xdr:to>
      <xdr:col>9</xdr:col>
      <xdr:colOff>390525</xdr:colOff>
      <xdr:row>33</xdr:row>
      <xdr:rowOff>228600</xdr:rowOff>
    </xdr:to>
    <xdr:sp>
      <xdr:nvSpPr>
        <xdr:cNvPr id="4" name="Line 15"/>
        <xdr:cNvSpPr>
          <a:spLocks/>
        </xdr:cNvSpPr>
      </xdr:nvSpPr>
      <xdr:spPr>
        <a:xfrm>
          <a:off x="2571750" y="6105525"/>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47625</xdr:colOff>
      <xdr:row>33</xdr:row>
      <xdr:rowOff>228600</xdr:rowOff>
    </xdr:from>
    <xdr:to>
      <xdr:col>7</xdr:col>
      <xdr:colOff>47625</xdr:colOff>
      <xdr:row>42</xdr:row>
      <xdr:rowOff>0</xdr:rowOff>
    </xdr:to>
    <xdr:sp>
      <xdr:nvSpPr>
        <xdr:cNvPr id="5" name="Line 16"/>
        <xdr:cNvSpPr>
          <a:spLocks/>
        </xdr:cNvSpPr>
      </xdr:nvSpPr>
      <xdr:spPr>
        <a:xfrm>
          <a:off x="3800475" y="6105525"/>
          <a:ext cx="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142875</xdr:rowOff>
    </xdr:from>
    <xdr:to>
      <xdr:col>20</xdr:col>
      <xdr:colOff>19050</xdr:colOff>
      <xdr:row>41</xdr:row>
      <xdr:rowOff>142875</xdr:rowOff>
    </xdr:to>
    <xdr:sp>
      <xdr:nvSpPr>
        <xdr:cNvPr id="6" name="Line 23"/>
        <xdr:cNvSpPr>
          <a:spLocks/>
        </xdr:cNvSpPr>
      </xdr:nvSpPr>
      <xdr:spPr>
        <a:xfrm flipH="1" flipV="1">
          <a:off x="6600825" y="61055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142875</xdr:rowOff>
    </xdr:from>
    <xdr:to>
      <xdr:col>20</xdr:col>
      <xdr:colOff>19050</xdr:colOff>
      <xdr:row>35</xdr:row>
      <xdr:rowOff>142875</xdr:rowOff>
    </xdr:to>
    <xdr:sp>
      <xdr:nvSpPr>
        <xdr:cNvPr id="7" name="Line 23"/>
        <xdr:cNvSpPr>
          <a:spLocks/>
        </xdr:cNvSpPr>
      </xdr:nvSpPr>
      <xdr:spPr>
        <a:xfrm flipH="1" flipV="1">
          <a:off x="6600825" y="61055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31</xdr:row>
      <xdr:rowOff>142875</xdr:rowOff>
    </xdr:from>
    <xdr:to>
      <xdr:col>20</xdr:col>
      <xdr:colOff>9525</xdr:colOff>
      <xdr:row>31</xdr:row>
      <xdr:rowOff>142875</xdr:rowOff>
    </xdr:to>
    <xdr:sp>
      <xdr:nvSpPr>
        <xdr:cNvPr id="8" name="Line 23"/>
        <xdr:cNvSpPr>
          <a:spLocks/>
        </xdr:cNvSpPr>
      </xdr:nvSpPr>
      <xdr:spPr>
        <a:xfrm flipH="1" flipV="1">
          <a:off x="6572250" y="61055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180975</xdr:rowOff>
    </xdr:from>
    <xdr:to>
      <xdr:col>20</xdr:col>
      <xdr:colOff>9525</xdr:colOff>
      <xdr:row>33</xdr:row>
      <xdr:rowOff>180975</xdr:rowOff>
    </xdr:to>
    <xdr:sp>
      <xdr:nvSpPr>
        <xdr:cNvPr id="9" name="Line 23"/>
        <xdr:cNvSpPr>
          <a:spLocks/>
        </xdr:cNvSpPr>
      </xdr:nvSpPr>
      <xdr:spPr>
        <a:xfrm flipH="1" flipV="1">
          <a:off x="6600825" y="6105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39</xdr:row>
      <xdr:rowOff>142875</xdr:rowOff>
    </xdr:from>
    <xdr:to>
      <xdr:col>20</xdr:col>
      <xdr:colOff>9525</xdr:colOff>
      <xdr:row>39</xdr:row>
      <xdr:rowOff>142875</xdr:rowOff>
    </xdr:to>
    <xdr:sp>
      <xdr:nvSpPr>
        <xdr:cNvPr id="10" name="Line 23"/>
        <xdr:cNvSpPr>
          <a:spLocks/>
        </xdr:cNvSpPr>
      </xdr:nvSpPr>
      <xdr:spPr>
        <a:xfrm flipH="1" flipV="1">
          <a:off x="6572250" y="61055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295275</xdr:colOff>
      <xdr:row>37</xdr:row>
      <xdr:rowOff>114300</xdr:rowOff>
    </xdr:from>
    <xdr:to>
      <xdr:col>20</xdr:col>
      <xdr:colOff>9525</xdr:colOff>
      <xdr:row>37</xdr:row>
      <xdr:rowOff>114300</xdr:rowOff>
    </xdr:to>
    <xdr:sp>
      <xdr:nvSpPr>
        <xdr:cNvPr id="11" name="Line 23"/>
        <xdr:cNvSpPr>
          <a:spLocks/>
        </xdr:cNvSpPr>
      </xdr:nvSpPr>
      <xdr:spPr>
        <a:xfrm flipH="1" flipV="1">
          <a:off x="6572250" y="61055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123825</xdr:rowOff>
    </xdr:from>
    <xdr:to>
      <xdr:col>4</xdr:col>
      <xdr:colOff>238125</xdr:colOff>
      <xdr:row>33</xdr:row>
      <xdr:rowOff>123825</xdr:rowOff>
    </xdr:to>
    <xdr:sp>
      <xdr:nvSpPr>
        <xdr:cNvPr id="1" name="Line 18"/>
        <xdr:cNvSpPr>
          <a:spLocks/>
        </xdr:cNvSpPr>
      </xdr:nvSpPr>
      <xdr:spPr>
        <a:xfrm flipV="1">
          <a:off x="2057400" y="9344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2" name="Line 18"/>
        <xdr:cNvSpPr>
          <a:spLocks/>
        </xdr:cNvSpPr>
      </xdr:nvSpPr>
      <xdr:spPr>
        <a:xfrm flipV="1">
          <a:off x="2057400" y="9906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V="1">
          <a:off x="20574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85725</xdr:rowOff>
    </xdr:from>
    <xdr:to>
      <xdr:col>4</xdr:col>
      <xdr:colOff>238125</xdr:colOff>
      <xdr:row>43</xdr:row>
      <xdr:rowOff>85725</xdr:rowOff>
    </xdr:to>
    <xdr:sp>
      <xdr:nvSpPr>
        <xdr:cNvPr id="4" name="Line 18"/>
        <xdr:cNvSpPr>
          <a:spLocks/>
        </xdr:cNvSpPr>
      </xdr:nvSpPr>
      <xdr:spPr>
        <a:xfrm flipV="1">
          <a:off x="2057400" y="11430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5" name="Line 18"/>
        <xdr:cNvSpPr>
          <a:spLocks/>
        </xdr:cNvSpPr>
      </xdr:nvSpPr>
      <xdr:spPr>
        <a:xfrm flipV="1">
          <a:off x="2066925" y="11820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6" name="Line 18"/>
        <xdr:cNvSpPr>
          <a:spLocks/>
        </xdr:cNvSpPr>
      </xdr:nvSpPr>
      <xdr:spPr>
        <a:xfrm>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36</xdr:row>
      <xdr:rowOff>95250</xdr:rowOff>
    </xdr:from>
    <xdr:to>
      <xdr:col>9</xdr:col>
      <xdr:colOff>0</xdr:colOff>
      <xdr:row>36</xdr:row>
      <xdr:rowOff>95250</xdr:rowOff>
    </xdr:to>
    <xdr:sp>
      <xdr:nvSpPr>
        <xdr:cNvPr id="7" name="Line 18"/>
        <xdr:cNvSpPr>
          <a:spLocks/>
        </xdr:cNvSpPr>
      </xdr:nvSpPr>
      <xdr:spPr>
        <a:xfrm flipH="1" flipV="1">
          <a:off x="2276475" y="10201275"/>
          <a:ext cx="1581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8" name="Line 18"/>
        <xdr:cNvSpPr>
          <a:spLocks/>
        </xdr:cNvSpPr>
      </xdr:nvSpPr>
      <xdr:spPr>
        <a:xfrm flipH="1">
          <a:off x="2286000" y="9334500"/>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37</xdr:row>
      <xdr:rowOff>9525</xdr:rowOff>
    </xdr:from>
    <xdr:to>
      <xdr:col>19</xdr:col>
      <xdr:colOff>38100</xdr:colOff>
      <xdr:row>37</xdr:row>
      <xdr:rowOff>9525</xdr:rowOff>
    </xdr:to>
    <xdr:sp>
      <xdr:nvSpPr>
        <xdr:cNvPr id="9" name="Line 18"/>
        <xdr:cNvSpPr>
          <a:spLocks/>
        </xdr:cNvSpPr>
      </xdr:nvSpPr>
      <xdr:spPr>
        <a:xfrm flipH="1" flipV="1">
          <a:off x="5257800"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190500</xdr:rowOff>
    </xdr:from>
    <xdr:to>
      <xdr:col>19</xdr:col>
      <xdr:colOff>47625</xdr:colOff>
      <xdr:row>44</xdr:row>
      <xdr:rowOff>95250</xdr:rowOff>
    </xdr:to>
    <xdr:sp>
      <xdr:nvSpPr>
        <xdr:cNvPr id="10" name="Line 18"/>
        <xdr:cNvSpPr>
          <a:spLocks/>
        </xdr:cNvSpPr>
      </xdr:nvSpPr>
      <xdr:spPr>
        <a:xfrm flipH="1">
          <a:off x="6429375" y="9410700"/>
          <a:ext cx="0"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33</xdr:row>
      <xdr:rowOff>200025</xdr:rowOff>
    </xdr:from>
    <xdr:to>
      <xdr:col>19</xdr:col>
      <xdr:colOff>390525</xdr:colOff>
      <xdr:row>33</xdr:row>
      <xdr:rowOff>200025</xdr:rowOff>
    </xdr:to>
    <xdr:sp>
      <xdr:nvSpPr>
        <xdr:cNvPr id="11" name="Line 18"/>
        <xdr:cNvSpPr>
          <a:spLocks/>
        </xdr:cNvSpPr>
      </xdr:nvSpPr>
      <xdr:spPr>
        <a:xfrm flipH="1" flipV="1">
          <a:off x="6429375" y="94202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114300</xdr:rowOff>
    </xdr:from>
    <xdr:to>
      <xdr:col>19</xdr:col>
      <xdr:colOff>390525</xdr:colOff>
      <xdr:row>41</xdr:row>
      <xdr:rowOff>114300</xdr:rowOff>
    </xdr:to>
    <xdr:sp>
      <xdr:nvSpPr>
        <xdr:cNvPr id="12" name="Line 18"/>
        <xdr:cNvSpPr>
          <a:spLocks/>
        </xdr:cNvSpPr>
      </xdr:nvSpPr>
      <xdr:spPr>
        <a:xfrm flipH="1" flipV="1">
          <a:off x="6419850" y="110966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37</xdr:row>
      <xdr:rowOff>114300</xdr:rowOff>
    </xdr:from>
    <xdr:to>
      <xdr:col>20</xdr:col>
      <xdr:colOff>9525</xdr:colOff>
      <xdr:row>37</xdr:row>
      <xdr:rowOff>114300</xdr:rowOff>
    </xdr:to>
    <xdr:sp>
      <xdr:nvSpPr>
        <xdr:cNvPr id="13" name="Line 18"/>
        <xdr:cNvSpPr>
          <a:spLocks/>
        </xdr:cNvSpPr>
      </xdr:nvSpPr>
      <xdr:spPr>
        <a:xfrm flipH="1">
          <a:off x="6429375" y="10315575"/>
          <a:ext cx="361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44</xdr:row>
      <xdr:rowOff>95250</xdr:rowOff>
    </xdr:from>
    <xdr:to>
      <xdr:col>19</xdr:col>
      <xdr:colOff>390525</xdr:colOff>
      <xdr:row>44</xdr:row>
      <xdr:rowOff>95250</xdr:rowOff>
    </xdr:to>
    <xdr:sp>
      <xdr:nvSpPr>
        <xdr:cNvPr id="14" name="Line 18"/>
        <xdr:cNvSpPr>
          <a:spLocks/>
        </xdr:cNvSpPr>
      </xdr:nvSpPr>
      <xdr:spPr>
        <a:xfrm flipH="1" flipV="1">
          <a:off x="6438900" y="117062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5" name="Line 18"/>
        <xdr:cNvSpPr>
          <a:spLocks/>
        </xdr:cNvSpPr>
      </xdr:nvSpPr>
      <xdr:spPr>
        <a:xfrm flipV="1">
          <a:off x="20574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142875</xdr:rowOff>
    </xdr:from>
    <xdr:to>
      <xdr:col>4</xdr:col>
      <xdr:colOff>238125</xdr:colOff>
      <xdr:row>41</xdr:row>
      <xdr:rowOff>142875</xdr:rowOff>
    </xdr:to>
    <xdr:sp>
      <xdr:nvSpPr>
        <xdr:cNvPr id="16" name="Line 18"/>
        <xdr:cNvSpPr>
          <a:spLocks/>
        </xdr:cNvSpPr>
      </xdr:nvSpPr>
      <xdr:spPr>
        <a:xfrm flipV="1">
          <a:off x="2057400"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6" t="s">
        <v>202</v>
      </c>
    </row>
    <row r="7" spans="2:12" ht="24.75" customHeight="1">
      <c r="B7" s="781" t="s">
        <v>623</v>
      </c>
      <c r="C7" s="781"/>
      <c r="D7" s="781"/>
      <c r="E7" s="781"/>
      <c r="F7" s="781"/>
      <c r="G7" s="781"/>
      <c r="H7" s="781"/>
      <c r="I7" s="781"/>
      <c r="J7" s="781"/>
      <c r="K7" s="781"/>
      <c r="L7" s="68"/>
    </row>
    <row r="8" spans="2:12" ht="24.75" customHeight="1">
      <c r="B8" s="782" t="s">
        <v>700</v>
      </c>
      <c r="C8" s="782"/>
      <c r="D8" s="782"/>
      <c r="E8" s="782"/>
      <c r="F8" s="782"/>
      <c r="G8" s="782"/>
      <c r="H8" s="782"/>
      <c r="I8" s="782"/>
      <c r="J8" s="782"/>
      <c r="K8" s="782"/>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3" t="s">
        <v>523</v>
      </c>
      <c r="C12" s="784"/>
      <c r="D12" s="784"/>
      <c r="E12" s="784"/>
      <c r="F12" s="784"/>
      <c r="G12" s="784"/>
      <c r="H12" s="784"/>
      <c r="I12" s="784"/>
      <c r="J12" s="784"/>
      <c r="K12" s="784"/>
      <c r="L12" s="67"/>
    </row>
    <row r="13" spans="2:11" ht="10.5" customHeight="1">
      <c r="B13" s="123"/>
      <c r="C13" s="124"/>
      <c r="D13" s="123"/>
      <c r="E13" s="33"/>
      <c r="F13" s="123"/>
      <c r="G13" s="31"/>
      <c r="H13" s="31"/>
      <c r="I13" s="31"/>
      <c r="J13" s="31"/>
      <c r="K13" s="31"/>
    </row>
    <row r="14" spans="2:11" ht="15.75" customHeight="1">
      <c r="B14" s="125" t="s">
        <v>536</v>
      </c>
      <c r="C14" s="785" t="s">
        <v>524</v>
      </c>
      <c r="D14" s="786"/>
      <c r="E14" s="786"/>
      <c r="F14" s="786"/>
      <c r="G14" s="786"/>
      <c r="H14" s="786"/>
      <c r="I14" s="786"/>
      <c r="J14" s="786"/>
      <c r="K14" s="787"/>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90"/>
      <c r="D29" s="790"/>
      <c r="E29" s="790"/>
      <c r="F29" s="790"/>
      <c r="G29" s="790"/>
      <c r="H29" s="790"/>
      <c r="I29" s="790"/>
      <c r="J29" s="790"/>
      <c r="K29" s="790"/>
    </row>
    <row r="30" spans="2:11" ht="13.5">
      <c r="B30" s="7"/>
      <c r="C30" s="789"/>
      <c r="D30" s="789"/>
      <c r="E30" s="789"/>
      <c r="F30" s="789"/>
      <c r="G30" s="789"/>
      <c r="H30" s="789"/>
      <c r="I30" s="789"/>
      <c r="J30" s="789"/>
      <c r="K30" s="789"/>
    </row>
    <row r="31" spans="2:10" ht="7.5" customHeight="1">
      <c r="B31" s="8"/>
      <c r="C31" s="9"/>
      <c r="D31" s="9"/>
      <c r="E31" s="9"/>
      <c r="F31" s="9"/>
      <c r="G31" s="9"/>
      <c r="H31" s="9"/>
      <c r="I31" s="9"/>
      <c r="J31" s="9"/>
    </row>
    <row r="32" spans="2:12" s="3" customFormat="1" ht="13.5">
      <c r="B32" s="6"/>
      <c r="C32" s="788"/>
      <c r="D32" s="788"/>
      <c r="E32" s="788"/>
      <c r="F32" s="788"/>
      <c r="G32" s="788"/>
      <c r="H32" s="788"/>
      <c r="I32" s="788"/>
      <c r="J32" s="788"/>
      <c r="K32" s="788"/>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 sqref="C1"/>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3.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4" t="s">
        <v>383</v>
      </c>
      <c r="D5" s="815"/>
      <c r="E5" s="815"/>
      <c r="F5" s="815"/>
      <c r="G5" s="815"/>
      <c r="H5" s="815"/>
      <c r="I5" s="815"/>
      <c r="J5" s="815"/>
      <c r="K5" s="815"/>
      <c r="L5" s="815"/>
      <c r="M5" s="815"/>
      <c r="N5" s="115"/>
      <c r="O5" s="115"/>
      <c r="P5" s="115"/>
    </row>
    <row r="6" ht="9.75" customHeight="1"/>
    <row r="7" spans="3:16" ht="17.25" customHeight="1">
      <c r="C7" s="973" t="s">
        <v>375</v>
      </c>
      <c r="D7" s="974"/>
      <c r="E7" s="974"/>
      <c r="F7" s="974"/>
      <c r="G7" s="974"/>
      <c r="H7" s="974"/>
      <c r="I7" s="974"/>
      <c r="J7" s="974"/>
      <c r="K7" s="974"/>
      <c r="L7" s="974"/>
      <c r="M7" s="974"/>
      <c r="N7" s="974"/>
      <c r="O7" s="974"/>
      <c r="P7" s="975"/>
    </row>
    <row r="8" spans="3:16" ht="25.5" customHeight="1">
      <c r="C8" s="979"/>
      <c r="D8" s="980"/>
      <c r="E8" s="980"/>
      <c r="F8" s="980"/>
      <c r="G8" s="980"/>
      <c r="H8" s="980"/>
      <c r="I8" s="980"/>
      <c r="J8" s="980"/>
      <c r="K8" s="980"/>
      <c r="L8" s="980"/>
      <c r="M8" s="980"/>
      <c r="N8" s="980"/>
      <c r="O8" s="980"/>
      <c r="P8" s="981"/>
    </row>
    <row r="9" spans="3:16" ht="39" customHeight="1">
      <c r="C9" s="976" t="s">
        <v>376</v>
      </c>
      <c r="D9" s="977"/>
      <c r="E9" s="977"/>
      <c r="F9" s="977"/>
      <c r="G9" s="977"/>
      <c r="H9" s="977"/>
      <c r="I9" s="977"/>
      <c r="J9" s="977"/>
      <c r="K9" s="977"/>
      <c r="L9" s="977"/>
      <c r="M9" s="977"/>
      <c r="N9" s="977"/>
      <c r="O9" s="977"/>
      <c r="P9" s="978"/>
    </row>
    <row r="10" spans="3:16" ht="15" customHeight="1">
      <c r="C10" s="963"/>
      <c r="D10" s="964"/>
      <c r="E10" s="964"/>
      <c r="F10" s="964"/>
      <c r="G10" s="964"/>
      <c r="H10" s="964"/>
      <c r="I10" s="964"/>
      <c r="J10" s="964"/>
      <c r="K10" s="964"/>
      <c r="L10" s="964"/>
      <c r="M10" s="964"/>
      <c r="N10" s="964"/>
      <c r="O10" s="964"/>
      <c r="P10" s="965"/>
    </row>
    <row r="11" spans="3:16" ht="15" customHeight="1">
      <c r="C11" s="963"/>
      <c r="D11" s="964"/>
      <c r="E11" s="964"/>
      <c r="F11" s="964"/>
      <c r="G11" s="964"/>
      <c r="H11" s="964"/>
      <c r="I11" s="964"/>
      <c r="J11" s="964"/>
      <c r="K11" s="964"/>
      <c r="L11" s="964"/>
      <c r="M11" s="964"/>
      <c r="N11" s="964"/>
      <c r="O11" s="964"/>
      <c r="P11" s="965"/>
    </row>
    <row r="12" spans="3:16" ht="15" customHeight="1">
      <c r="C12" s="963"/>
      <c r="D12" s="964"/>
      <c r="E12" s="964"/>
      <c r="F12" s="964"/>
      <c r="G12" s="964"/>
      <c r="H12" s="964"/>
      <c r="I12" s="964"/>
      <c r="J12" s="964"/>
      <c r="K12" s="964"/>
      <c r="L12" s="964"/>
      <c r="M12" s="964"/>
      <c r="N12" s="964"/>
      <c r="O12" s="964"/>
      <c r="P12" s="965"/>
    </row>
    <row r="13" spans="3:16" ht="15" customHeight="1">
      <c r="C13" s="963"/>
      <c r="D13" s="966"/>
      <c r="E13" s="966"/>
      <c r="F13" s="966"/>
      <c r="G13" s="966"/>
      <c r="H13" s="966"/>
      <c r="I13" s="966"/>
      <c r="J13" s="966"/>
      <c r="K13" s="966"/>
      <c r="L13" s="966"/>
      <c r="M13" s="966"/>
      <c r="N13" s="966"/>
      <c r="O13" s="966"/>
      <c r="P13" s="967"/>
    </row>
    <row r="14" spans="3:16" ht="15" customHeight="1">
      <c r="C14" s="963"/>
      <c r="D14" s="964"/>
      <c r="E14" s="964"/>
      <c r="F14" s="964"/>
      <c r="G14" s="964"/>
      <c r="H14" s="964"/>
      <c r="I14" s="964"/>
      <c r="J14" s="964"/>
      <c r="K14" s="964"/>
      <c r="L14" s="964"/>
      <c r="M14" s="964"/>
      <c r="N14" s="964"/>
      <c r="O14" s="964"/>
      <c r="P14" s="965"/>
    </row>
    <row r="15" spans="3:16" ht="15" customHeight="1">
      <c r="C15" s="963"/>
      <c r="D15" s="964"/>
      <c r="E15" s="964"/>
      <c r="F15" s="964"/>
      <c r="G15" s="964"/>
      <c r="H15" s="964"/>
      <c r="I15" s="964"/>
      <c r="J15" s="964"/>
      <c r="K15" s="964"/>
      <c r="L15" s="964"/>
      <c r="M15" s="964"/>
      <c r="N15" s="964"/>
      <c r="O15" s="964"/>
      <c r="P15" s="965"/>
    </row>
    <row r="16" spans="3:16" ht="15" customHeight="1">
      <c r="C16" s="963"/>
      <c r="D16" s="964"/>
      <c r="E16" s="964"/>
      <c r="F16" s="964"/>
      <c r="G16" s="964"/>
      <c r="H16" s="964"/>
      <c r="I16" s="964"/>
      <c r="J16" s="964"/>
      <c r="K16" s="964"/>
      <c r="L16" s="964"/>
      <c r="M16" s="964"/>
      <c r="N16" s="964"/>
      <c r="O16" s="964"/>
      <c r="P16" s="965"/>
    </row>
    <row r="17" spans="3:16" ht="15" customHeight="1">
      <c r="C17" s="963"/>
      <c r="D17" s="966"/>
      <c r="E17" s="966"/>
      <c r="F17" s="966"/>
      <c r="G17" s="966"/>
      <c r="H17" s="966"/>
      <c r="I17" s="966"/>
      <c r="J17" s="966"/>
      <c r="K17" s="966"/>
      <c r="L17" s="966"/>
      <c r="M17" s="966"/>
      <c r="N17" s="966"/>
      <c r="O17" s="966"/>
      <c r="P17" s="967"/>
    </row>
    <row r="18" spans="3:16" ht="15" customHeight="1">
      <c r="C18" s="963"/>
      <c r="D18" s="966"/>
      <c r="E18" s="966"/>
      <c r="F18" s="966"/>
      <c r="G18" s="966"/>
      <c r="H18" s="966"/>
      <c r="I18" s="966"/>
      <c r="J18" s="966"/>
      <c r="K18" s="966"/>
      <c r="L18" s="966"/>
      <c r="M18" s="966"/>
      <c r="N18" s="966"/>
      <c r="O18" s="966"/>
      <c r="P18" s="967"/>
    </row>
    <row r="19" spans="3:16" ht="15" customHeight="1">
      <c r="C19" s="973" t="s">
        <v>377</v>
      </c>
      <c r="D19" s="974"/>
      <c r="E19" s="974"/>
      <c r="F19" s="974"/>
      <c r="G19" s="974"/>
      <c r="H19" s="974"/>
      <c r="I19" s="974"/>
      <c r="J19" s="974"/>
      <c r="K19" s="974"/>
      <c r="L19" s="974"/>
      <c r="M19" s="974"/>
      <c r="N19" s="974"/>
      <c r="O19" s="974"/>
      <c r="P19" s="975"/>
    </row>
    <row r="20" spans="3:16" ht="15" customHeight="1">
      <c r="C20" s="963"/>
      <c r="D20" s="968"/>
      <c r="E20" s="968"/>
      <c r="F20" s="968"/>
      <c r="G20" s="968"/>
      <c r="H20" s="968"/>
      <c r="I20" s="968"/>
      <c r="J20" s="968"/>
      <c r="K20" s="968"/>
      <c r="L20" s="968"/>
      <c r="M20" s="968"/>
      <c r="N20" s="968"/>
      <c r="O20" s="968"/>
      <c r="P20" s="969"/>
    </row>
    <row r="21" spans="3:16" ht="15" customHeight="1">
      <c r="C21" s="963"/>
      <c r="D21" s="968"/>
      <c r="E21" s="968"/>
      <c r="F21" s="968"/>
      <c r="G21" s="968"/>
      <c r="H21" s="968"/>
      <c r="I21" s="968"/>
      <c r="J21" s="968"/>
      <c r="K21" s="968"/>
      <c r="L21" s="968"/>
      <c r="M21" s="968"/>
      <c r="N21" s="968"/>
      <c r="O21" s="968"/>
      <c r="P21" s="969"/>
    </row>
    <row r="22" spans="3:16" ht="15" customHeight="1">
      <c r="C22" s="963"/>
      <c r="D22" s="968"/>
      <c r="E22" s="968"/>
      <c r="F22" s="968"/>
      <c r="G22" s="968"/>
      <c r="H22" s="968"/>
      <c r="I22" s="968"/>
      <c r="J22" s="968"/>
      <c r="K22" s="968"/>
      <c r="L22" s="968"/>
      <c r="M22" s="968"/>
      <c r="N22" s="968"/>
      <c r="O22" s="968"/>
      <c r="P22" s="969"/>
    </row>
    <row r="23" spans="3:16" ht="15" customHeight="1">
      <c r="C23" s="963"/>
      <c r="D23" s="968"/>
      <c r="E23" s="968"/>
      <c r="F23" s="968"/>
      <c r="G23" s="968"/>
      <c r="H23" s="968"/>
      <c r="I23" s="968"/>
      <c r="J23" s="968"/>
      <c r="K23" s="968"/>
      <c r="L23" s="968"/>
      <c r="M23" s="968"/>
      <c r="N23" s="968"/>
      <c r="O23" s="968"/>
      <c r="P23" s="969"/>
    </row>
    <row r="24" spans="3:16" ht="15" customHeight="1">
      <c r="C24" s="970"/>
      <c r="D24" s="971"/>
      <c r="E24" s="971"/>
      <c r="F24" s="971"/>
      <c r="G24" s="971"/>
      <c r="H24" s="971"/>
      <c r="I24" s="971"/>
      <c r="J24" s="971"/>
      <c r="K24" s="971"/>
      <c r="L24" s="971"/>
      <c r="M24" s="971"/>
      <c r="N24" s="971"/>
      <c r="O24" s="971"/>
      <c r="P24" s="972"/>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
      <c r="A1" s="20"/>
      <c r="B1" s="19" t="s">
        <v>522</v>
      </c>
    </row>
    <row r="2" ht="9.75" customHeight="1"/>
    <row r="3" spans="2:11" s="12" customFormat="1" ht="16.5" customHeight="1">
      <c r="B3" s="808" t="s">
        <v>536</v>
      </c>
      <c r="C3" s="808"/>
      <c r="D3" s="808"/>
      <c r="E3" s="808"/>
      <c r="F3" s="808"/>
      <c r="G3" s="808"/>
      <c r="H3" s="808"/>
      <c r="I3" s="808"/>
      <c r="J3" s="808"/>
      <c r="K3" s="808"/>
    </row>
    <row r="4" spans="2:11" ht="9.75" customHeight="1">
      <c r="B4" s="33"/>
      <c r="C4" s="127"/>
      <c r="D4" s="33"/>
      <c r="E4" s="33"/>
      <c r="F4" s="33"/>
      <c r="G4" s="33"/>
      <c r="H4" s="33"/>
      <c r="I4" s="33"/>
      <c r="J4" s="33"/>
      <c r="K4" s="33"/>
    </row>
    <row r="5" spans="2:11" s="12" customFormat="1" ht="15">
      <c r="B5" s="810" t="s">
        <v>544</v>
      </c>
      <c r="C5" s="810"/>
      <c r="D5" s="810"/>
      <c r="E5" s="810"/>
      <c r="F5" s="810"/>
      <c r="G5" s="810"/>
      <c r="H5" s="810"/>
      <c r="I5" s="810"/>
      <c r="J5" s="810"/>
      <c r="K5" s="810"/>
    </row>
    <row r="6" spans="2:11" ht="7.5" customHeight="1">
      <c r="B6" s="128"/>
      <c r="C6" s="129"/>
      <c r="D6" s="123"/>
      <c r="E6" s="33"/>
      <c r="F6" s="123"/>
      <c r="G6" s="31"/>
      <c r="H6" s="31"/>
      <c r="I6" s="31"/>
      <c r="J6" s="31"/>
      <c r="K6" s="33"/>
    </row>
    <row r="7" spans="2:11" s="4" customFormat="1" ht="40.5" customHeight="1">
      <c r="B7" s="791" t="s">
        <v>545</v>
      </c>
      <c r="C7" s="791"/>
      <c r="D7" s="791"/>
      <c r="E7" s="791"/>
      <c r="F7" s="791"/>
      <c r="G7" s="791"/>
      <c r="H7" s="791"/>
      <c r="I7" s="791"/>
      <c r="J7" s="791"/>
      <c r="K7" s="791"/>
    </row>
    <row r="8" spans="2:11" s="4" customFormat="1" ht="7.5" customHeight="1">
      <c r="B8" s="130"/>
      <c r="C8" s="130"/>
      <c r="D8" s="130"/>
      <c r="E8" s="130"/>
      <c r="F8" s="130"/>
      <c r="G8" s="130"/>
      <c r="H8" s="130"/>
      <c r="I8" s="130"/>
      <c r="J8" s="130"/>
      <c r="K8" s="130"/>
    </row>
    <row r="9" spans="2:11" s="4" customFormat="1" ht="25.5" customHeight="1">
      <c r="B9" s="791" t="s">
        <v>546</v>
      </c>
      <c r="C9" s="795"/>
      <c r="D9" s="795"/>
      <c r="E9" s="795"/>
      <c r="F9" s="795"/>
      <c r="G9" s="795"/>
      <c r="H9" s="795"/>
      <c r="I9" s="795"/>
      <c r="J9" s="795"/>
      <c r="K9" s="795"/>
    </row>
    <row r="10" spans="2:11" s="4" customFormat="1" ht="4.5" customHeight="1">
      <c r="B10" s="102"/>
      <c r="C10" s="102"/>
      <c r="D10" s="102"/>
      <c r="E10" s="102"/>
      <c r="F10" s="102"/>
      <c r="G10" s="102"/>
      <c r="H10" s="102"/>
      <c r="I10" s="102"/>
      <c r="J10" s="102"/>
      <c r="K10" s="102"/>
    </row>
    <row r="11" spans="2:11" s="1" customFormat="1" ht="26.25" customHeight="1">
      <c r="B11" s="796" t="s">
        <v>701</v>
      </c>
      <c r="C11" s="796"/>
      <c r="D11" s="796"/>
      <c r="E11" s="796"/>
      <c r="F11" s="796"/>
      <c r="G11" s="796"/>
      <c r="H11" s="796"/>
      <c r="I11" s="796"/>
      <c r="J11" s="796"/>
      <c r="K11" s="796"/>
    </row>
    <row r="12" spans="2:11" s="4" customFormat="1" ht="4.5" customHeight="1">
      <c r="B12" s="130"/>
      <c r="C12" s="130"/>
      <c r="D12" s="130"/>
      <c r="E12" s="130"/>
      <c r="F12" s="130"/>
      <c r="G12" s="130"/>
      <c r="H12" s="130"/>
      <c r="I12" s="130"/>
      <c r="J12" s="130"/>
      <c r="K12" s="130"/>
    </row>
    <row r="13" spans="2:11" s="4" customFormat="1" ht="18.75" customHeight="1">
      <c r="B13" s="791" t="s">
        <v>547</v>
      </c>
      <c r="C13" s="791"/>
      <c r="D13" s="791"/>
      <c r="E13" s="791"/>
      <c r="F13" s="791"/>
      <c r="G13" s="791"/>
      <c r="H13" s="791"/>
      <c r="I13" s="791"/>
      <c r="J13" s="791"/>
      <c r="K13" s="791"/>
    </row>
    <row r="14" spans="2:11" s="4" customFormat="1" ht="4.5" customHeight="1">
      <c r="B14" s="130"/>
      <c r="C14" s="130"/>
      <c r="D14" s="130"/>
      <c r="E14" s="130"/>
      <c r="F14" s="130"/>
      <c r="G14" s="130"/>
      <c r="H14" s="130"/>
      <c r="I14" s="130"/>
      <c r="J14" s="130"/>
      <c r="K14" s="130"/>
    </row>
    <row r="15" spans="2:11" s="38" customFormat="1" ht="26.25" customHeight="1">
      <c r="B15" s="794" t="s">
        <v>622</v>
      </c>
      <c r="C15" s="794"/>
      <c r="D15" s="794"/>
      <c r="E15" s="794"/>
      <c r="F15" s="794"/>
      <c r="G15" s="794"/>
      <c r="H15" s="794"/>
      <c r="I15" s="794"/>
      <c r="J15" s="794"/>
      <c r="K15" s="794"/>
    </row>
    <row r="16" spans="2:11" s="4" customFormat="1" ht="4.5" customHeight="1">
      <c r="B16" s="130"/>
      <c r="C16" s="130"/>
      <c r="D16" s="130"/>
      <c r="E16" s="130"/>
      <c r="F16" s="130"/>
      <c r="G16" s="130"/>
      <c r="H16" s="130"/>
      <c r="I16" s="130"/>
      <c r="J16" s="130"/>
      <c r="K16" s="130"/>
    </row>
    <row r="17" spans="2:11" s="4" customFormat="1" ht="29.25" customHeight="1">
      <c r="B17" s="791" t="s">
        <v>548</v>
      </c>
      <c r="C17" s="791"/>
      <c r="D17" s="791"/>
      <c r="E17" s="791"/>
      <c r="F17" s="791"/>
      <c r="G17" s="791"/>
      <c r="H17" s="791"/>
      <c r="I17" s="791"/>
      <c r="J17" s="791"/>
      <c r="K17" s="791"/>
    </row>
    <row r="18" spans="2:11" s="4" customFormat="1" ht="4.5" customHeight="1">
      <c r="B18" s="102"/>
      <c r="C18" s="102"/>
      <c r="D18" s="102"/>
      <c r="E18" s="102"/>
      <c r="F18" s="102"/>
      <c r="G18" s="102"/>
      <c r="H18" s="102"/>
      <c r="I18" s="102"/>
      <c r="J18" s="102"/>
      <c r="K18" s="102"/>
    </row>
    <row r="19" spans="2:11" s="4" customFormat="1" ht="26.25" customHeight="1">
      <c r="B19" s="791" t="s">
        <v>549</v>
      </c>
      <c r="C19" s="791"/>
      <c r="D19" s="791"/>
      <c r="E19" s="791"/>
      <c r="F19" s="791"/>
      <c r="G19" s="791"/>
      <c r="H19" s="791"/>
      <c r="I19" s="791"/>
      <c r="J19" s="791"/>
      <c r="K19" s="791"/>
    </row>
    <row r="20" spans="2:11" s="4" customFormat="1" ht="4.5" customHeight="1">
      <c r="B20" s="132"/>
      <c r="C20" s="132"/>
      <c r="D20" s="132"/>
      <c r="E20" s="132"/>
      <c r="F20" s="132"/>
      <c r="G20" s="132"/>
      <c r="H20" s="132"/>
      <c r="I20" s="132"/>
      <c r="J20" s="132"/>
      <c r="K20" s="132"/>
    </row>
    <row r="21" spans="2:11" s="4" customFormat="1" ht="26.25" customHeight="1">
      <c r="B21" s="791" t="s">
        <v>559</v>
      </c>
      <c r="C21" s="791"/>
      <c r="D21" s="791"/>
      <c r="E21" s="791"/>
      <c r="F21" s="791"/>
      <c r="G21" s="791"/>
      <c r="H21" s="791"/>
      <c r="I21" s="791"/>
      <c r="J21" s="791"/>
      <c r="K21" s="791"/>
    </row>
    <row r="22" spans="2:11" s="4" customFormat="1" ht="26.25" customHeight="1">
      <c r="B22" s="807" t="s">
        <v>550</v>
      </c>
      <c r="C22" s="807"/>
      <c r="D22" s="807"/>
      <c r="E22" s="807"/>
      <c r="F22" s="807"/>
      <c r="G22" s="807"/>
      <c r="H22" s="807"/>
      <c r="I22" s="807"/>
      <c r="J22" s="807"/>
      <c r="K22" s="807"/>
    </row>
    <row r="23" spans="2:11" s="4" customFormat="1" ht="6.75" customHeight="1">
      <c r="B23" s="133"/>
      <c r="C23" s="130"/>
      <c r="D23" s="130"/>
      <c r="E23" s="130"/>
      <c r="F23" s="130"/>
      <c r="G23" s="130"/>
      <c r="H23" s="130"/>
      <c r="I23" s="130"/>
      <c r="J23" s="130"/>
      <c r="K23" s="130"/>
    </row>
    <row r="24" spans="2:11" s="4" customFormat="1" ht="38.25" customHeight="1">
      <c r="B24" s="792" t="s">
        <v>568</v>
      </c>
      <c r="C24" s="792"/>
      <c r="D24" s="792"/>
      <c r="E24" s="793"/>
      <c r="F24" s="793"/>
      <c r="G24" s="793"/>
      <c r="H24" s="793"/>
      <c r="I24" s="793"/>
      <c r="J24" s="793"/>
      <c r="K24" s="793"/>
    </row>
    <row r="25" spans="2:11" s="4" customFormat="1" ht="8.25" customHeight="1">
      <c r="B25" s="791"/>
      <c r="C25" s="809"/>
      <c r="D25" s="809"/>
      <c r="E25" s="809"/>
      <c r="F25" s="809"/>
      <c r="G25" s="809"/>
      <c r="H25" s="809"/>
      <c r="I25" s="809"/>
      <c r="J25" s="809"/>
      <c r="K25" s="809"/>
    </row>
    <row r="26" spans="2:11" ht="0.75" customHeight="1">
      <c r="B26" s="135"/>
      <c r="C26" s="136"/>
      <c r="D26" s="136"/>
      <c r="E26" s="136"/>
      <c r="F26" s="136"/>
      <c r="G26" s="136"/>
      <c r="H26" s="136"/>
      <c r="I26" s="136"/>
      <c r="J26" s="136"/>
      <c r="K26" s="134"/>
    </row>
    <row r="27" spans="2:11" s="12" customFormat="1" ht="15">
      <c r="B27" s="814" t="s">
        <v>551</v>
      </c>
      <c r="C27" s="815"/>
      <c r="D27" s="815"/>
      <c r="E27" s="815"/>
      <c r="F27" s="815"/>
      <c r="G27" s="815"/>
      <c r="H27" s="815"/>
      <c r="I27" s="815"/>
      <c r="J27" s="815"/>
      <c r="K27" s="815"/>
    </row>
    <row r="28" spans="2:11" ht="7.5" customHeight="1">
      <c r="B28" s="137"/>
      <c r="C28" s="138"/>
      <c r="D28" s="137"/>
      <c r="E28" s="138"/>
      <c r="F28" s="137"/>
      <c r="G28" s="138"/>
      <c r="H28" s="137"/>
      <c r="I28" s="138"/>
      <c r="J28" s="137"/>
      <c r="K28" s="138"/>
    </row>
    <row r="29" spans="2:11" ht="7.5" customHeight="1">
      <c r="B29" s="798"/>
      <c r="C29" s="798"/>
      <c r="D29" s="798"/>
      <c r="E29" s="798"/>
      <c r="F29" s="798"/>
      <c r="G29" s="798"/>
      <c r="H29" s="798"/>
      <c r="I29" s="798"/>
      <c r="J29" s="798"/>
      <c r="K29" s="798"/>
    </row>
    <row r="30" spans="2:11" s="38" customFormat="1" ht="15.75" customHeight="1">
      <c r="B30" s="139" t="s">
        <v>21</v>
      </c>
      <c r="C30" s="796" t="s">
        <v>552</v>
      </c>
      <c r="D30" s="796"/>
      <c r="E30" s="796"/>
      <c r="F30" s="796"/>
      <c r="G30" s="796"/>
      <c r="H30" s="796"/>
      <c r="I30" s="796"/>
      <c r="J30" s="796"/>
      <c r="K30" s="796"/>
    </row>
    <row r="31" spans="2:11" s="38" customFormat="1" ht="26.25" customHeight="1">
      <c r="B31" s="139" t="s">
        <v>21</v>
      </c>
      <c r="C31" s="797" t="s">
        <v>553</v>
      </c>
      <c r="D31" s="797"/>
      <c r="E31" s="797"/>
      <c r="F31" s="797"/>
      <c r="G31" s="797"/>
      <c r="H31" s="797"/>
      <c r="I31" s="797"/>
      <c r="J31" s="797"/>
      <c r="K31" s="797"/>
    </row>
    <row r="32" spans="2:11" s="29" customFormat="1" ht="51" customHeight="1">
      <c r="B32" s="139" t="s">
        <v>21</v>
      </c>
      <c r="C32" s="797" t="s">
        <v>554</v>
      </c>
      <c r="D32" s="797"/>
      <c r="E32" s="797"/>
      <c r="F32" s="797"/>
      <c r="G32" s="797"/>
      <c r="H32" s="797"/>
      <c r="I32" s="797"/>
      <c r="J32" s="797"/>
      <c r="K32" s="797"/>
    </row>
    <row r="33" spans="2:11" s="38" customFormat="1" ht="26.25" customHeight="1">
      <c r="B33" s="140" t="s">
        <v>21</v>
      </c>
      <c r="C33" s="797" t="s">
        <v>555</v>
      </c>
      <c r="D33" s="797"/>
      <c r="E33" s="797"/>
      <c r="F33" s="797"/>
      <c r="G33" s="797"/>
      <c r="H33" s="797"/>
      <c r="I33" s="797"/>
      <c r="J33" s="797"/>
      <c r="K33" s="797"/>
    </row>
    <row r="34" spans="2:11" s="38" customFormat="1" ht="27.75" customHeight="1">
      <c r="B34" s="140" t="s">
        <v>21</v>
      </c>
      <c r="C34" s="800" t="s">
        <v>0</v>
      </c>
      <c r="D34" s="800"/>
      <c r="E34" s="800"/>
      <c r="F34" s="800"/>
      <c r="G34" s="800"/>
      <c r="H34" s="800"/>
      <c r="I34" s="800"/>
      <c r="J34" s="800"/>
      <c r="K34" s="800"/>
    </row>
    <row r="35" spans="2:11" s="4" customFormat="1" ht="15.75" customHeight="1">
      <c r="B35" s="140" t="s">
        <v>21</v>
      </c>
      <c r="C35" s="791" t="s">
        <v>1</v>
      </c>
      <c r="D35" s="791"/>
      <c r="E35" s="791"/>
      <c r="F35" s="791"/>
      <c r="G35" s="791"/>
      <c r="H35" s="791"/>
      <c r="I35" s="791"/>
      <c r="J35" s="791"/>
      <c r="K35" s="791"/>
    </row>
    <row r="36" spans="2:11" s="38" customFormat="1" ht="15.75" customHeight="1">
      <c r="B36" s="140" t="s">
        <v>21</v>
      </c>
      <c r="C36" s="796" t="s">
        <v>2</v>
      </c>
      <c r="D36" s="796"/>
      <c r="E36" s="796"/>
      <c r="F36" s="796"/>
      <c r="G36" s="796"/>
      <c r="H36" s="796"/>
      <c r="I36" s="796"/>
      <c r="J36" s="796"/>
      <c r="K36" s="796"/>
    </row>
    <row r="37" spans="2:11" s="38" customFormat="1" ht="14.25" customHeight="1">
      <c r="B37" s="140" t="s">
        <v>21</v>
      </c>
      <c r="C37" s="796" t="s">
        <v>3</v>
      </c>
      <c r="D37" s="796"/>
      <c r="E37" s="796"/>
      <c r="F37" s="796"/>
      <c r="G37" s="796"/>
      <c r="H37" s="796"/>
      <c r="I37" s="796"/>
      <c r="J37" s="796"/>
      <c r="K37" s="796"/>
    </row>
    <row r="38" spans="2:11" s="4" customFormat="1" ht="10.5" customHeight="1">
      <c r="B38" s="140"/>
      <c r="C38" s="791"/>
      <c r="D38" s="791"/>
      <c r="E38" s="791"/>
      <c r="F38" s="791"/>
      <c r="G38" s="791"/>
      <c r="H38" s="791"/>
      <c r="I38" s="791"/>
      <c r="J38" s="791"/>
      <c r="K38" s="79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07" t="s">
        <v>665</v>
      </c>
      <c r="D44" s="807"/>
      <c r="E44" s="807"/>
      <c r="F44" s="807"/>
      <c r="G44" s="807"/>
      <c r="H44" s="807"/>
      <c r="I44" s="807"/>
      <c r="J44" s="807"/>
      <c r="K44" s="807"/>
    </row>
    <row r="45" spans="2:11" s="24" customFormat="1" ht="9.75" customHeight="1">
      <c r="B45" s="146"/>
      <c r="C45" s="147"/>
      <c r="D45" s="148"/>
      <c r="E45" s="148"/>
      <c r="F45" s="148"/>
      <c r="G45" s="148"/>
      <c r="H45" s="148"/>
      <c r="I45" s="148"/>
      <c r="J45" s="148"/>
      <c r="K45" s="148"/>
    </row>
    <row r="46" spans="2:11" s="12" customFormat="1" ht="15.75" customHeight="1">
      <c r="B46" s="816" t="s">
        <v>7</v>
      </c>
      <c r="C46" s="817"/>
      <c r="D46" s="817"/>
      <c r="E46" s="817"/>
      <c r="F46" s="817"/>
      <c r="G46" s="817"/>
      <c r="H46" s="817"/>
      <c r="I46" s="817"/>
      <c r="J46" s="817"/>
      <c r="K46" s="817"/>
    </row>
    <row r="47" spans="2:11" ht="7.5" customHeight="1">
      <c r="B47" s="149"/>
      <c r="C47" s="149"/>
      <c r="D47" s="136"/>
      <c r="E47" s="136"/>
      <c r="F47" s="149"/>
      <c r="G47" s="136"/>
      <c r="H47" s="136"/>
      <c r="I47" s="136"/>
      <c r="J47" s="136"/>
      <c r="K47" s="134"/>
    </row>
    <row r="48" spans="2:12" ht="24" customHeight="1">
      <c r="B48" s="804" t="s">
        <v>8</v>
      </c>
      <c r="C48" s="805"/>
      <c r="D48" s="805"/>
      <c r="E48" s="805"/>
      <c r="F48" s="805"/>
      <c r="G48" s="805"/>
      <c r="H48" s="805"/>
      <c r="I48" s="805"/>
      <c r="J48" s="805"/>
      <c r="K48" s="806"/>
      <c r="L48" s="17"/>
    </row>
    <row r="49" spans="2:11" ht="77.25" customHeight="1">
      <c r="B49" s="811" t="s">
        <v>488</v>
      </c>
      <c r="C49" s="812"/>
      <c r="D49" s="812"/>
      <c r="E49" s="812"/>
      <c r="F49" s="812"/>
      <c r="G49" s="812"/>
      <c r="H49" s="812"/>
      <c r="I49" s="812"/>
      <c r="J49" s="812"/>
      <c r="K49" s="813"/>
    </row>
    <row r="50" spans="2:11" ht="24" customHeight="1">
      <c r="B50" s="804" t="s">
        <v>9</v>
      </c>
      <c r="C50" s="805"/>
      <c r="D50" s="805"/>
      <c r="E50" s="805"/>
      <c r="F50" s="805"/>
      <c r="G50" s="805"/>
      <c r="H50" s="805"/>
      <c r="I50" s="805"/>
      <c r="J50" s="805"/>
      <c r="K50" s="806"/>
    </row>
    <row r="51" spans="2:11" ht="79.5" customHeight="1">
      <c r="B51" s="811" t="s">
        <v>13</v>
      </c>
      <c r="C51" s="812"/>
      <c r="D51" s="812"/>
      <c r="E51" s="812"/>
      <c r="F51" s="812"/>
      <c r="G51" s="812"/>
      <c r="H51" s="812"/>
      <c r="I51" s="812"/>
      <c r="J51" s="812"/>
      <c r="K51" s="813"/>
    </row>
    <row r="52" spans="2:11" ht="24" customHeight="1">
      <c r="B52" s="804" t="s">
        <v>10</v>
      </c>
      <c r="C52" s="805"/>
      <c r="D52" s="805"/>
      <c r="E52" s="805"/>
      <c r="F52" s="805"/>
      <c r="G52" s="805"/>
      <c r="H52" s="805"/>
      <c r="I52" s="805"/>
      <c r="J52" s="805"/>
      <c r="K52" s="806"/>
    </row>
    <row r="53" spans="2:11" ht="52.5" customHeight="1">
      <c r="B53" s="801" t="s">
        <v>12</v>
      </c>
      <c r="C53" s="802"/>
      <c r="D53" s="802"/>
      <c r="E53" s="802"/>
      <c r="F53" s="802"/>
      <c r="G53" s="802"/>
      <c r="H53" s="802"/>
      <c r="I53" s="802"/>
      <c r="J53" s="802"/>
      <c r="K53" s="803"/>
    </row>
    <row r="54" spans="2:11" ht="24" customHeight="1">
      <c r="B54" s="804" t="s">
        <v>11</v>
      </c>
      <c r="C54" s="805"/>
      <c r="D54" s="805"/>
      <c r="E54" s="805"/>
      <c r="F54" s="805"/>
      <c r="G54" s="805"/>
      <c r="H54" s="805"/>
      <c r="I54" s="805"/>
      <c r="J54" s="805"/>
      <c r="K54" s="806"/>
    </row>
    <row r="55" spans="2:11" ht="51.75" customHeight="1">
      <c r="B55" s="801" t="s">
        <v>14</v>
      </c>
      <c r="C55" s="802"/>
      <c r="D55" s="802"/>
      <c r="E55" s="802"/>
      <c r="F55" s="802"/>
      <c r="G55" s="802"/>
      <c r="H55" s="802"/>
      <c r="I55" s="802"/>
      <c r="J55" s="802"/>
      <c r="K55" s="803"/>
    </row>
    <row r="56" spans="2:11" ht="24" customHeight="1">
      <c r="B56" s="804" t="s">
        <v>381</v>
      </c>
      <c r="C56" s="805"/>
      <c r="D56" s="805"/>
      <c r="E56" s="805"/>
      <c r="F56" s="805"/>
      <c r="G56" s="805"/>
      <c r="H56" s="805"/>
      <c r="I56" s="805"/>
      <c r="J56" s="805"/>
      <c r="K56" s="806"/>
    </row>
    <row r="57" spans="2:11" ht="27" customHeight="1">
      <c r="B57" s="801" t="s">
        <v>382</v>
      </c>
      <c r="C57" s="802"/>
      <c r="D57" s="802"/>
      <c r="E57" s="802"/>
      <c r="F57" s="802"/>
      <c r="G57" s="802"/>
      <c r="H57" s="802"/>
      <c r="I57" s="802"/>
      <c r="J57" s="802"/>
      <c r="K57" s="803"/>
    </row>
    <row r="58" spans="2:11" s="12" customFormat="1" ht="24" customHeight="1">
      <c r="B58" s="804" t="s">
        <v>383</v>
      </c>
      <c r="C58" s="805"/>
      <c r="D58" s="805"/>
      <c r="E58" s="805"/>
      <c r="F58" s="805"/>
      <c r="G58" s="805"/>
      <c r="H58" s="805"/>
      <c r="I58" s="805"/>
      <c r="J58" s="805"/>
      <c r="K58" s="806"/>
    </row>
    <row r="59" spans="2:11" ht="52.5" customHeight="1">
      <c r="B59" s="801" t="s">
        <v>384</v>
      </c>
      <c r="C59" s="802"/>
      <c r="D59" s="802"/>
      <c r="E59" s="802"/>
      <c r="F59" s="802"/>
      <c r="G59" s="802"/>
      <c r="H59" s="802"/>
      <c r="I59" s="802"/>
      <c r="J59" s="802"/>
      <c r="K59" s="803"/>
    </row>
    <row r="60" spans="2:11" ht="7.5" customHeight="1">
      <c r="B60" s="150"/>
      <c r="C60" s="150"/>
      <c r="D60" s="150"/>
      <c r="E60" s="150"/>
      <c r="F60" s="150"/>
      <c r="G60" s="150"/>
      <c r="H60" s="150"/>
      <c r="I60" s="150"/>
      <c r="J60" s="150"/>
      <c r="K60" s="150"/>
    </row>
    <row r="61" spans="2:11" ht="15.75" customHeight="1">
      <c r="B61" s="799" t="s">
        <v>385</v>
      </c>
      <c r="C61" s="799"/>
      <c r="D61" s="799"/>
      <c r="E61" s="799"/>
      <c r="F61" s="799"/>
      <c r="G61" s="799"/>
      <c r="H61" s="799"/>
      <c r="I61" s="799"/>
      <c r="J61" s="799"/>
      <c r="K61" s="79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12.7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51:K51"/>
    <mergeCell ref="B48:K48"/>
    <mergeCell ref="B53:K53"/>
    <mergeCell ref="B46:K46"/>
    <mergeCell ref="C38:K38"/>
    <mergeCell ref="B56:K56"/>
    <mergeCell ref="B3:K3"/>
    <mergeCell ref="B25:K25"/>
    <mergeCell ref="B17:K17"/>
    <mergeCell ref="B21:K21"/>
    <mergeCell ref="B5:K5"/>
    <mergeCell ref="B50:K50"/>
    <mergeCell ref="B49:K49"/>
    <mergeCell ref="B27:K27"/>
    <mergeCell ref="C33:K33"/>
    <mergeCell ref="C36:K36"/>
    <mergeCell ref="B61:K61"/>
    <mergeCell ref="C34:K34"/>
    <mergeCell ref="B59:K59"/>
    <mergeCell ref="B55:K55"/>
    <mergeCell ref="B58:K58"/>
    <mergeCell ref="B22:K22"/>
    <mergeCell ref="C44:K44"/>
    <mergeCell ref="B52:K52"/>
    <mergeCell ref="B57:K57"/>
    <mergeCell ref="B54:K54"/>
    <mergeCell ref="C37:K37"/>
    <mergeCell ref="C30:K30"/>
    <mergeCell ref="C32:K32"/>
    <mergeCell ref="C31:K31"/>
    <mergeCell ref="B29:K29"/>
    <mergeCell ref="C35:K35"/>
    <mergeCell ref="B7:K7"/>
    <mergeCell ref="B24:K24"/>
    <mergeCell ref="B13:K13"/>
    <mergeCell ref="B15:K15"/>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
      <c r="B1" s="94" t="s">
        <v>396</v>
      </c>
      <c r="D1" s="11" t="s">
        <v>31</v>
      </c>
    </row>
    <row r="2" ht="7.5" customHeight="1"/>
    <row r="3" spans="2:4" ht="18">
      <c r="B3" s="818" t="s">
        <v>525</v>
      </c>
      <c r="C3" s="818"/>
      <c r="D3" s="818"/>
    </row>
    <row r="4" spans="2:4" ht="12.75" customHeight="1">
      <c r="B4" s="156"/>
      <c r="C4" s="157"/>
      <c r="D4" s="158"/>
    </row>
    <row r="5" spans="2:4" ht="15">
      <c r="B5" s="819" t="s">
        <v>397</v>
      </c>
      <c r="C5" s="819"/>
      <c r="D5" s="819"/>
    </row>
    <row r="6" spans="2:7" s="5" customFormat="1" ht="40.5" customHeight="1" thickBot="1">
      <c r="B6" s="821" t="s">
        <v>572</v>
      </c>
      <c r="C6" s="822"/>
      <c r="D6" s="822"/>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8" t="s">
        <v>569</v>
      </c>
      <c r="C11" s="619" t="s">
        <v>573</v>
      </c>
      <c r="D11" s="620" t="s">
        <v>621</v>
      </c>
      <c r="E11" s="81"/>
      <c r="F11" s="80"/>
      <c r="G11" s="80"/>
    </row>
    <row r="12" spans="2:7" s="5" customFormat="1" ht="39.75" customHeight="1">
      <c r="B12" s="162" t="s">
        <v>199</v>
      </c>
      <c r="C12" s="163" t="s">
        <v>402</v>
      </c>
      <c r="D12" s="164" t="s">
        <v>403</v>
      </c>
      <c r="E12" s="81"/>
      <c r="F12" s="80"/>
      <c r="G12" s="80"/>
    </row>
    <row r="13" spans="2:7" s="5" customFormat="1" ht="39.75" customHeight="1">
      <c r="B13" s="618" t="s">
        <v>570</v>
      </c>
      <c r="C13" s="621" t="s">
        <v>574</v>
      </c>
      <c r="D13" s="622" t="s">
        <v>577</v>
      </c>
      <c r="E13" s="81"/>
      <c r="F13" s="80"/>
      <c r="G13" s="80"/>
    </row>
    <row r="14" spans="2:7" s="5" customFormat="1" ht="39.75" customHeight="1">
      <c r="B14" s="162" t="s">
        <v>296</v>
      </c>
      <c r="C14" s="621" t="s">
        <v>578</v>
      </c>
      <c r="D14" s="623" t="s">
        <v>579</v>
      </c>
      <c r="E14" s="81"/>
      <c r="F14" s="80"/>
      <c r="G14" s="80"/>
    </row>
    <row r="15" spans="2:7" s="5" customFormat="1" ht="25.5" thickBot="1">
      <c r="B15" s="648" t="s">
        <v>571</v>
      </c>
      <c r="C15" s="624" t="s">
        <v>575</v>
      </c>
      <c r="D15" s="625" t="s">
        <v>576</v>
      </c>
      <c r="E15" s="81"/>
      <c r="F15" s="80"/>
      <c r="G15" s="80"/>
    </row>
    <row r="16" spans="2:4" ht="21.75" customHeight="1">
      <c r="B16" s="167"/>
      <c r="C16" s="157"/>
      <c r="D16" s="158"/>
    </row>
    <row r="17" spans="2:4" ht="18" customHeight="1" thickBot="1">
      <c r="B17" s="820" t="s">
        <v>537</v>
      </c>
      <c r="C17" s="820"/>
      <c r="D17" s="820"/>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6" t="s">
        <v>467</v>
      </c>
      <c r="C38" s="174" t="s">
        <v>471</v>
      </c>
      <c r="D38" s="164" t="s">
        <v>590</v>
      </c>
      <c r="E38" s="79"/>
      <c r="F38" s="80"/>
      <c r="G38" s="80"/>
    </row>
    <row r="39" spans="2:7" s="5" customFormat="1" ht="42" customHeight="1">
      <c r="B39" s="172" t="s">
        <v>466</v>
      </c>
      <c r="C39" s="627" t="s">
        <v>431</v>
      </c>
      <c r="D39" s="628" t="s">
        <v>302</v>
      </c>
      <c r="E39" s="79"/>
      <c r="F39" s="80"/>
      <c r="G39" s="80"/>
    </row>
    <row r="40" spans="2:7" s="5" customFormat="1" ht="42" customHeight="1">
      <c r="B40" s="172" t="s">
        <v>465</v>
      </c>
      <c r="C40" s="629" t="s">
        <v>582</v>
      </c>
      <c r="D40" s="623"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9" t="s">
        <v>584</v>
      </c>
      <c r="D42" s="623" t="s">
        <v>586</v>
      </c>
      <c r="E42" s="79"/>
      <c r="F42" s="80"/>
      <c r="G42" s="80"/>
    </row>
    <row r="43" spans="2:7" s="5" customFormat="1" ht="39" customHeight="1">
      <c r="B43" s="172" t="s">
        <v>463</v>
      </c>
      <c r="C43" s="629" t="s">
        <v>585</v>
      </c>
      <c r="D43" s="164" t="s">
        <v>504</v>
      </c>
      <c r="E43" s="79">
        <v>51</v>
      </c>
      <c r="F43" s="80"/>
      <c r="G43" s="80"/>
    </row>
    <row r="44" spans="2:7" s="5" customFormat="1" ht="39" customHeight="1">
      <c r="B44" s="172" t="s">
        <v>462</v>
      </c>
      <c r="C44" s="629" t="s">
        <v>587</v>
      </c>
      <c r="D44" s="623"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30" t="s">
        <v>600</v>
      </c>
      <c r="C55" s="631" t="s">
        <v>598</v>
      </c>
      <c r="D55" s="623"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1" t="s">
        <v>620</v>
      </c>
      <c r="D57" s="623" t="s">
        <v>602</v>
      </c>
      <c r="E57" s="79"/>
      <c r="F57" s="80"/>
      <c r="G57" s="80"/>
    </row>
    <row r="58" spans="1:7" s="5" customFormat="1" ht="51">
      <c r="A58" s="1"/>
      <c r="B58" s="179" t="s">
        <v>607</v>
      </c>
      <c r="C58" s="631" t="s">
        <v>601</v>
      </c>
      <c r="D58" s="623" t="s">
        <v>303</v>
      </c>
      <c r="E58" s="79"/>
      <c r="F58" s="80"/>
      <c r="G58" s="80"/>
    </row>
    <row r="59" spans="1:7" s="5" customFormat="1" ht="25.5">
      <c r="A59" s="1"/>
      <c r="B59" s="179" t="s">
        <v>679</v>
      </c>
      <c r="C59" s="631" t="s">
        <v>604</v>
      </c>
      <c r="D59" s="623"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2"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4.7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
      <c r="A1" s="32"/>
      <c r="B1" s="32"/>
      <c r="C1" s="647" t="s">
        <v>378</v>
      </c>
      <c r="D1" s="646"/>
      <c r="E1" s="647"/>
      <c r="F1" s="646"/>
      <c r="G1" s="646"/>
      <c r="H1" s="646"/>
      <c r="I1" s="646"/>
      <c r="J1" s="646"/>
      <c r="K1" s="646"/>
      <c r="L1" s="646"/>
      <c r="M1" s="646"/>
      <c r="N1" s="646"/>
      <c r="O1" s="646"/>
      <c r="P1" s="646"/>
      <c r="Q1" s="646"/>
      <c r="R1" s="646"/>
      <c r="S1" s="646"/>
      <c r="T1" s="646"/>
      <c r="U1" s="646"/>
      <c r="V1" s="646"/>
      <c r="W1" s="64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23" t="s">
        <v>379</v>
      </c>
      <c r="D2" s="824"/>
      <c r="E2" s="824"/>
      <c r="F2" s="824"/>
      <c r="G2" s="824"/>
      <c r="H2" s="824"/>
      <c r="I2" s="824"/>
      <c r="J2" s="824"/>
      <c r="K2" s="824"/>
      <c r="L2" s="824"/>
      <c r="M2" s="824"/>
      <c r="N2" s="824"/>
      <c r="O2" s="824"/>
      <c r="P2" s="824"/>
      <c r="Q2" s="824"/>
      <c r="R2" s="824"/>
      <c r="S2" s="824"/>
      <c r="T2" s="824"/>
      <c r="U2" s="824"/>
      <c r="V2" s="824"/>
      <c r="W2" s="824"/>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
      <c r="A4" s="32"/>
      <c r="B4" s="32"/>
      <c r="C4" s="825" t="s">
        <v>380</v>
      </c>
      <c r="D4" s="824"/>
      <c r="E4" s="824"/>
      <c r="F4" s="824"/>
      <c r="G4" s="824"/>
      <c r="H4" s="824"/>
      <c r="I4" s="824"/>
      <c r="J4" s="824"/>
      <c r="K4" s="824"/>
      <c r="L4" s="824"/>
      <c r="M4" s="824"/>
      <c r="N4" s="824"/>
      <c r="O4" s="824"/>
      <c r="P4" s="824"/>
      <c r="Q4" s="824"/>
      <c r="R4" s="824"/>
      <c r="S4" s="824"/>
      <c r="T4" s="824"/>
      <c r="U4" s="824"/>
      <c r="V4" s="824"/>
      <c r="W4" s="824"/>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4"/>
      <c r="E6" s="642"/>
      <c r="F6" s="639"/>
      <c r="G6" s="639"/>
      <c r="H6" s="639"/>
      <c r="I6" s="639"/>
      <c r="J6" s="642"/>
      <c r="K6" s="639"/>
      <c r="L6" s="639"/>
      <c r="M6" s="639"/>
      <c r="N6" s="639"/>
      <c r="O6" s="639"/>
      <c r="P6" s="639"/>
      <c r="Q6" s="639"/>
      <c r="R6" s="640"/>
      <c r="S6" s="639"/>
      <c r="T6" s="639"/>
      <c r="U6" s="63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5"/>
      <c r="D7" s="37"/>
      <c r="E7" s="62"/>
      <c r="F7" s="641" t="str">
        <f>'W1'!D8&amp;" (W1,1)"</f>
        <v>الهطول (W1,1)</v>
      </c>
      <c r="G7" s="641" t="str">
        <f>'W1'!D9&amp;" (W1,2)"</f>
        <v>البخر الفعلي (W1,2)</v>
      </c>
      <c r="H7" s="62"/>
      <c r="I7" s="62"/>
      <c r="J7" s="62"/>
      <c r="K7" s="62"/>
      <c r="L7" s="62"/>
      <c r="M7" s="62"/>
      <c r="N7" s="62"/>
      <c r="O7" s="62"/>
      <c r="P7" s="62"/>
      <c r="Q7" s="62"/>
      <c r="R7" s="62"/>
      <c r="S7" s="62"/>
      <c r="T7" s="62"/>
      <c r="U7" s="64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5"/>
      <c r="D10" s="37"/>
      <c r="E10" s="62"/>
      <c r="F10" s="837" t="str">
        <f>LEFT('W1'!D10,LEN('W1'!D10)-7)&amp;" (W1,3)"</f>
        <v>التدفق الداخلي (W1,3)</v>
      </c>
      <c r="G10" s="838"/>
      <c r="H10" s="62"/>
      <c r="J10" s="62"/>
      <c r="K10" s="62"/>
      <c r="L10" s="62"/>
      <c r="M10" s="62"/>
      <c r="N10" s="62"/>
      <c r="O10" s="62"/>
      <c r="P10" s="62"/>
      <c r="Q10" s="839" t="s">
        <v>243</v>
      </c>
      <c r="R10" s="841" t="s">
        <v>246</v>
      </c>
      <c r="S10" s="84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5"/>
      <c r="D11" s="37"/>
      <c r="E11" s="64"/>
      <c r="F11" s="64"/>
      <c r="G11" s="64"/>
      <c r="H11" s="64"/>
      <c r="I11" s="845" t="str">
        <f>'W1'!D13&amp;" (W1,6)"</f>
        <v>التدفقات الخارجة للمياه السطحية والمياه الجوفية إلى البلدان المجاورة (W1,6)</v>
      </c>
      <c r="J11" s="846"/>
      <c r="K11" s="62"/>
      <c r="L11" s="64"/>
      <c r="M11" s="64"/>
      <c r="N11" s="64"/>
      <c r="O11" s="62"/>
      <c r="P11" s="62"/>
      <c r="Q11" s="840"/>
      <c r="R11" s="843"/>
      <c r="S11" s="84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5"/>
      <c r="D12" s="638"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5"/>
      <c r="D13" s="37"/>
      <c r="E13" s="62"/>
      <c r="F13" s="62"/>
      <c r="G13" s="62"/>
      <c r="H13" s="62"/>
      <c r="I13" s="845" t="str">
        <f>'W1'!D16&amp;" (W1,9)"</f>
        <v>التدفق الخارج للمياه السطحية والمياه الجوفية إلى البحار (W1,9)</v>
      </c>
      <c r="J13" s="84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5"/>
      <c r="D15" s="847" t="str">
        <f>'W2'!D13</f>
        <v>ما استُخرج منها بواسطة:</v>
      </c>
      <c r="E15" s="847"/>
      <c r="F15" s="847"/>
      <c r="G15" s="847"/>
      <c r="H15" s="847"/>
      <c r="I15" s="847"/>
      <c r="J15" s="847"/>
      <c r="K15" s="84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5"/>
      <c r="D17" s="63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5"/>
      <c r="D19" s="829" t="str">
        <f>LEFT('W2'!D10,LEN('W2'!D10)-7)&amp;" (W2,3)"</f>
        <v>إجمالي المياه العذبة المستخرجة (W2,3)</v>
      </c>
      <c r="E19" s="829"/>
      <c r="F19" s="829"/>
      <c r="G19" s="829"/>
      <c r="H19" s="829"/>
      <c r="I19" s="829"/>
      <c r="J19" s="829"/>
      <c r="K19" s="830"/>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5"/>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5"/>
      <c r="D21" s="25"/>
      <c r="E21" s="25"/>
      <c r="F21" s="25"/>
      <c r="G21" s="25"/>
      <c r="J21" s="826" t="str">
        <f>LEFT('W2'!D12,LEN('W2'!D12)-7)&amp;" (W2,5)"</f>
        <v>صافي المياه العذبة المستخرجة (W2,5)</v>
      </c>
      <c r="K21" s="827"/>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5"/>
      <c r="D22" s="37"/>
      <c r="E22" s="62"/>
      <c r="F22" s="62"/>
      <c r="G22" s="62"/>
      <c r="J22" s="62"/>
      <c r="K22" s="62"/>
      <c r="L22" s="62"/>
      <c r="M22" s="62"/>
      <c r="N22" s="62"/>
      <c r="O22" s="831" t="str">
        <f>LEFT('W2'!D28,LEN('W2'!D28)-17)&amp;" (W2,20)"</f>
        <v>إجمالي المياه العذبة المتاحة للاستخدام  (W2,20)</v>
      </c>
      <c r="P22" s="62"/>
      <c r="Q22" s="83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5"/>
      <c r="D23" s="37"/>
      <c r="E23" s="62"/>
      <c r="F23" s="62"/>
      <c r="G23" s="62"/>
      <c r="J23" s="826" t="str">
        <f>'W2'!D24&amp;" (W2,16)"</f>
        <v>المياه المزالة ملوحتها (W2,16)</v>
      </c>
      <c r="K23" s="827"/>
      <c r="L23" s="62"/>
      <c r="M23" s="25"/>
      <c r="N23" s="62"/>
      <c r="O23" s="832"/>
      <c r="P23" s="62"/>
      <c r="Q23" s="832"/>
      <c r="R23" s="835" t="str">
        <f>'W2'!D31</f>
        <v>ومنها ما تستخدمه:</v>
      </c>
      <c r="S23" s="836"/>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5"/>
      <c r="F25" s="826" t="str">
        <f>'W2'!D11&amp;" (W2,4)"</f>
        <v>لمياه المعادة دون استخدام (W2,4)</v>
      </c>
      <c r="G25" s="827"/>
      <c r="J25" s="826" t="str">
        <f>'W2'!D25&amp;" (W2,17)"</f>
        <v>المياه المعاد استعمالها (W2,17)</v>
      </c>
      <c r="K25" s="827"/>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5"/>
      <c r="D26" s="66"/>
      <c r="G26" s="66"/>
      <c r="H26" s="62"/>
      <c r="I26" s="62"/>
      <c r="J26" s="62"/>
      <c r="K26" s="62"/>
      <c r="L26" s="62"/>
      <c r="M26" s="62"/>
      <c r="N26" s="62"/>
      <c r="O26" s="62"/>
      <c r="P26" s="833"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5"/>
      <c r="D27" s="62"/>
      <c r="E27" s="62"/>
      <c r="F27" s="62"/>
      <c r="G27" s="62"/>
      <c r="H27" s="62"/>
      <c r="I27" s="62"/>
      <c r="J27" s="826" t="str">
        <f>'W2'!D26&amp;" - "&amp;'W2'!D27&amp;" (= W2,18 - W2,19)"</f>
        <v>واردات المياه - صادرات المياه (= W2,18 - W2,19)</v>
      </c>
      <c r="K27" s="827"/>
      <c r="L27" s="62"/>
      <c r="M27" s="62"/>
      <c r="N27" s="62"/>
      <c r="O27" s="25"/>
      <c r="P27" s="834"/>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5"/>
      <c r="D29" s="62"/>
      <c r="E29" s="62"/>
      <c r="F29" s="62"/>
      <c r="G29" s="62"/>
      <c r="H29" s="62"/>
      <c r="I29" s="62"/>
      <c r="J29" s="828"/>
      <c r="K29" s="828"/>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Q22:Q23"/>
    <mergeCell ref="J23:K23"/>
    <mergeCell ref="R23:S23"/>
    <mergeCell ref="F10:G10"/>
    <mergeCell ref="Q10:Q11"/>
    <mergeCell ref="R10:S11"/>
    <mergeCell ref="I11:J11"/>
    <mergeCell ref="I13:J13"/>
    <mergeCell ref="D15:K15"/>
    <mergeCell ref="C2:W2"/>
    <mergeCell ref="C4:W4"/>
    <mergeCell ref="J25:K25"/>
    <mergeCell ref="F25:G25"/>
    <mergeCell ref="J27:K27"/>
    <mergeCell ref="J29:K29"/>
    <mergeCell ref="D19:K19"/>
    <mergeCell ref="J21:K21"/>
    <mergeCell ref="O22:O23"/>
    <mergeCell ref="P26:P27"/>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70" zoomScaleNormal="70" zoomScaleSheetLayoutView="85" workbookViewId="0" topLeftCell="C1">
      <selection activeCell="H8" sqref="H8"/>
    </sheetView>
  </sheetViews>
  <sheetFormatPr defaultColWidth="9.16015625" defaultRowHeight="12.75"/>
  <cols>
    <col min="1" max="1" width="10" style="195" hidden="1" customWidth="1"/>
    <col min="2" max="2" width="10.33203125"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275</v>
      </c>
      <c r="C3" s="219" t="s">
        <v>320</v>
      </c>
      <c r="D3" s="569" t="s">
        <v>564</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B4" s="224"/>
      <c r="CJ4" s="206"/>
      <c r="CK4" s="206"/>
    </row>
    <row r="5" spans="1:89" s="231" customFormat="1" ht="17.25" customHeight="1">
      <c r="A5" s="225"/>
      <c r="B5" s="196">
        <v>1</v>
      </c>
      <c r="C5" s="860" t="s">
        <v>8</v>
      </c>
      <c r="D5" s="860"/>
      <c r="E5" s="861"/>
      <c r="F5" s="861"/>
      <c r="G5" s="861"/>
      <c r="H5" s="862"/>
      <c r="I5" s="862"/>
      <c r="J5" s="862"/>
      <c r="K5" s="862"/>
      <c r="L5" s="862"/>
      <c r="M5" s="862"/>
      <c r="N5" s="862"/>
      <c r="O5" s="862"/>
      <c r="P5" s="862"/>
      <c r="Q5" s="862"/>
      <c r="R5" s="862"/>
      <c r="S5" s="862"/>
      <c r="T5" s="862"/>
      <c r="U5" s="862"/>
      <c r="V5" s="862"/>
      <c r="W5" s="861"/>
      <c r="X5" s="862"/>
      <c r="Y5" s="861"/>
      <c r="Z5" s="862"/>
      <c r="AA5" s="861"/>
      <c r="AB5" s="862"/>
      <c r="AC5" s="861"/>
      <c r="AD5" s="862"/>
      <c r="AE5" s="861"/>
      <c r="AF5" s="862"/>
      <c r="AG5" s="861"/>
      <c r="AH5" s="862"/>
      <c r="AI5" s="862"/>
      <c r="AJ5" s="862"/>
      <c r="AK5" s="861"/>
      <c r="AL5" s="862"/>
      <c r="AM5" s="861"/>
      <c r="AN5" s="862"/>
      <c r="AO5" s="861"/>
      <c r="AP5" s="861"/>
      <c r="AQ5" s="861"/>
      <c r="AR5" s="861"/>
      <c r="AS5" s="861"/>
      <c r="AT5" s="862"/>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54" t="s">
        <v>190</v>
      </c>
      <c r="CG5" s="854"/>
      <c r="CH5" s="854"/>
      <c r="CI5" s="854"/>
      <c r="CJ5" s="206"/>
      <c r="CK5" s="206"/>
    </row>
    <row r="6" spans="5:89" ht="15.75" customHeight="1">
      <c r="E6" s="233"/>
      <c r="F6" s="241" t="s">
        <v>322</v>
      </c>
      <c r="Z6" s="238"/>
      <c r="AB6" s="855"/>
      <c r="AC6" s="856"/>
      <c r="AD6" s="856"/>
      <c r="AE6" s="856"/>
      <c r="AF6" s="856"/>
      <c r="AG6" s="856"/>
      <c r="AH6" s="856"/>
      <c r="AI6" s="856"/>
      <c r="AJ6" s="856"/>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8" t="s">
        <v>323</v>
      </c>
      <c r="D7" s="658" t="s">
        <v>324</v>
      </c>
      <c r="E7" s="658" t="s">
        <v>325</v>
      </c>
      <c r="F7" s="658" t="s">
        <v>326</v>
      </c>
      <c r="G7" s="658"/>
      <c r="H7" s="658">
        <v>2000</v>
      </c>
      <c r="I7" s="658"/>
      <c r="J7" s="658">
        <v>2001</v>
      </c>
      <c r="K7" s="658"/>
      <c r="L7" s="658">
        <v>2002</v>
      </c>
      <c r="M7" s="658"/>
      <c r="N7" s="658">
        <v>2003</v>
      </c>
      <c r="O7" s="658"/>
      <c r="P7" s="658">
        <v>2004</v>
      </c>
      <c r="Q7" s="658"/>
      <c r="R7" s="658">
        <v>2005</v>
      </c>
      <c r="S7" s="658"/>
      <c r="T7" s="658">
        <v>2006</v>
      </c>
      <c r="U7" s="658"/>
      <c r="V7" s="658">
        <v>2007</v>
      </c>
      <c r="W7" s="658"/>
      <c r="X7" s="658">
        <v>2008</v>
      </c>
      <c r="Y7" s="658"/>
      <c r="Z7" s="658">
        <v>2009</v>
      </c>
      <c r="AA7" s="658"/>
      <c r="AB7" s="658">
        <v>2010</v>
      </c>
      <c r="AC7" s="658"/>
      <c r="AD7" s="658">
        <v>2011</v>
      </c>
      <c r="AE7" s="658"/>
      <c r="AF7" s="658">
        <v>2012</v>
      </c>
      <c r="AG7" s="658"/>
      <c r="AH7" s="658">
        <v>2013</v>
      </c>
      <c r="AI7" s="658"/>
      <c r="AJ7" s="658">
        <v>2014</v>
      </c>
      <c r="AK7" s="658"/>
      <c r="AL7" s="658">
        <v>2015</v>
      </c>
      <c r="AM7" s="658"/>
      <c r="AN7" s="658">
        <v>2016</v>
      </c>
      <c r="AO7" s="658"/>
      <c r="AP7" s="658">
        <v>2017</v>
      </c>
      <c r="AQ7" s="658"/>
      <c r="AR7" s="658">
        <v>2018</v>
      </c>
      <c r="AS7" s="658"/>
      <c r="AT7" s="658">
        <v>2019</v>
      </c>
      <c r="AU7" s="658"/>
      <c r="AV7" s="658">
        <v>2020</v>
      </c>
      <c r="AW7" s="658"/>
      <c r="AX7" s="658">
        <v>2021</v>
      </c>
      <c r="AY7" s="658"/>
      <c r="BA7" s="246"/>
      <c r="BB7" s="660" t="s">
        <v>16</v>
      </c>
      <c r="BC7" s="660" t="s">
        <v>17</v>
      </c>
      <c r="BD7" s="660" t="s">
        <v>18</v>
      </c>
      <c r="BE7" s="660" t="s">
        <v>22</v>
      </c>
      <c r="BF7" s="661">
        <v>2000</v>
      </c>
      <c r="BG7" s="661">
        <v>2001</v>
      </c>
      <c r="BH7" s="661">
        <v>2002</v>
      </c>
      <c r="BI7" s="661">
        <v>2003</v>
      </c>
      <c r="BJ7" s="661">
        <v>2004</v>
      </c>
      <c r="BK7" s="661">
        <v>2005</v>
      </c>
      <c r="BL7" s="661">
        <v>2006</v>
      </c>
      <c r="BM7" s="661">
        <v>2007</v>
      </c>
      <c r="BN7" s="661">
        <v>2008</v>
      </c>
      <c r="BO7" s="661">
        <v>2009</v>
      </c>
      <c r="BP7" s="661">
        <v>2010</v>
      </c>
      <c r="BQ7" s="661">
        <v>2011</v>
      </c>
      <c r="BR7" s="661">
        <v>2012</v>
      </c>
      <c r="BS7" s="661">
        <v>2013</v>
      </c>
      <c r="BT7" s="661">
        <v>2014</v>
      </c>
      <c r="BU7" s="661">
        <v>2015</v>
      </c>
      <c r="BV7" s="661">
        <v>2016</v>
      </c>
      <c r="BW7" s="661">
        <v>2017</v>
      </c>
      <c r="BX7" s="661">
        <v>2018</v>
      </c>
      <c r="BY7" s="661">
        <v>2019</v>
      </c>
      <c r="BZ7" s="661">
        <v>2020</v>
      </c>
      <c r="CA7" s="661">
        <v>2021</v>
      </c>
      <c r="CB7" s="249"/>
      <c r="CC7" s="574"/>
      <c r="CD7" s="574"/>
      <c r="CE7" s="574"/>
      <c r="CF7" s="251">
        <v>4</v>
      </c>
      <c r="CG7" s="252" t="s">
        <v>34</v>
      </c>
      <c r="CH7" s="659">
        <v>213485.22</v>
      </c>
      <c r="CI7" s="251">
        <v>47150</v>
      </c>
      <c r="CJ7" s="251">
        <v>10000</v>
      </c>
      <c r="CK7" s="251">
        <v>65330</v>
      </c>
    </row>
    <row r="8" spans="1:89" s="258" customFormat="1" ht="20.25" customHeight="1">
      <c r="A8" s="253"/>
      <c r="B8" s="254">
        <v>6</v>
      </c>
      <c r="C8" s="255">
        <v>1</v>
      </c>
      <c r="D8" s="256" t="s">
        <v>407</v>
      </c>
      <c r="E8" s="257" t="s">
        <v>327</v>
      </c>
      <c r="F8" s="554"/>
      <c r="G8" s="579"/>
      <c r="H8" s="554"/>
      <c r="I8" s="579"/>
      <c r="J8" s="554"/>
      <c r="K8" s="579"/>
      <c r="L8" s="554"/>
      <c r="M8" s="579"/>
      <c r="N8" s="554"/>
      <c r="O8" s="579"/>
      <c r="P8" s="554"/>
      <c r="Q8" s="579"/>
      <c r="R8" s="554"/>
      <c r="S8" s="579"/>
      <c r="T8" s="554"/>
      <c r="U8" s="579"/>
      <c r="V8" s="554"/>
      <c r="W8" s="579"/>
      <c r="X8" s="554"/>
      <c r="Y8" s="579"/>
      <c r="Z8" s="554"/>
      <c r="AA8" s="579"/>
      <c r="AB8" s="554"/>
      <c r="AC8" s="579"/>
      <c r="AD8" s="554"/>
      <c r="AE8" s="579"/>
      <c r="AF8" s="554"/>
      <c r="AG8" s="579"/>
      <c r="AH8" s="554"/>
      <c r="AI8" s="579"/>
      <c r="AJ8" s="554"/>
      <c r="AK8" s="579"/>
      <c r="AL8" s="554"/>
      <c r="AM8" s="579"/>
      <c r="AN8" s="554"/>
      <c r="AO8" s="579"/>
      <c r="AP8" s="554"/>
      <c r="AQ8" s="579"/>
      <c r="AR8" s="554"/>
      <c r="AS8" s="579"/>
      <c r="AT8" s="554"/>
      <c r="AU8" s="579"/>
      <c r="AV8" s="554"/>
      <c r="AW8" s="579"/>
      <c r="AX8" s="554"/>
      <c r="AY8" s="579"/>
      <c r="BA8" s="259"/>
      <c r="BB8" s="662">
        <v>1</v>
      </c>
      <c r="BC8" s="663" t="s">
        <v>244</v>
      </c>
      <c r="BD8" s="664" t="s">
        <v>245</v>
      </c>
      <c r="BE8" s="662" t="str">
        <f>IF(OR(ISERR(AVERAGE(H8:AY8)),ISBLANK(F8)),"N/A",IF(OR(F8&lt;AVERAGE(H8:AY8)*0.75,F8&gt;AVERAGE(H8:AY8)*1.25),"&lt;&gt;Average","ok"))</f>
        <v>N/A</v>
      </c>
      <c r="BF8" s="665" t="s">
        <v>249</v>
      </c>
      <c r="BG8" s="662" t="str">
        <f aca="true" t="shared" si="0" ref="BG8:BG16">IF(OR(ISBLANK(H8),ISBLANK(J8)),"N/A",IF(ABS((J8-H8)/H8)&gt;1,"&gt; 100%","ok"))</f>
        <v>N/A</v>
      </c>
      <c r="BH8" s="666" t="str">
        <f>IF(OR(ISBLANK(L8),ISBLANK(J8)),"N/A",IF(ABS((L8-J8)/J8)&gt;1,"&gt; 100%","ok"))</f>
        <v>N/A</v>
      </c>
      <c r="BI8" s="666" t="str">
        <f aca="true" t="shared" si="1" ref="BI8:BI16">IF(OR(ISBLANK(N8),ISBLANK(L8)),"N/A",IF(ABS((N8-L8)/L8)&gt;0.25,"&gt; 25%","ok"))</f>
        <v>N/A</v>
      </c>
      <c r="BJ8" s="666" t="str">
        <f aca="true" t="shared" si="2" ref="BJ8:BJ16">IF(OR(ISBLANK(P8),ISBLANK(N8)),"N/A",IF(ABS((P8-N8)/N8)&gt;0.25,"&gt; 25%","ok"))</f>
        <v>N/A</v>
      </c>
      <c r="BK8" s="666" t="str">
        <f aca="true" t="shared" si="3" ref="BK8:BK16">IF(OR(ISBLANK(R8),ISBLANK(P8)),"N/A",IF(ABS((R8-P8)/P8)&gt;0.25,"&gt; 25%","ok"))</f>
        <v>N/A</v>
      </c>
      <c r="BL8" s="666" t="str">
        <f aca="true" t="shared" si="4" ref="BL8:BL16">IF(OR(ISBLANK(T8),ISBLANK(R8)),"N/A",IF(ABS((T8-R8)/R8)&gt;0.25,"&gt; 25%","ok"))</f>
        <v>N/A</v>
      </c>
      <c r="BM8" s="666" t="str">
        <f aca="true" t="shared" si="5" ref="BM8:BM16">IF(OR(ISBLANK(V8),ISBLANK(T8)),"N/A",IF(ABS((V8-T8)/T8)&gt;0.25,"&gt; 25%","ok"))</f>
        <v>N/A</v>
      </c>
      <c r="BN8" s="666" t="str">
        <f aca="true" t="shared" si="6" ref="BN8:BN16">IF(OR(ISBLANK(X8),ISBLANK(V8)),"N/A",IF(ABS((X8-V8)/V8)&gt;0.25,"&gt; 25%","ok"))</f>
        <v>N/A</v>
      </c>
      <c r="BO8" s="666" t="str">
        <f aca="true" t="shared" si="7" ref="BO8:BO16">IF(OR(ISBLANK(Z8),ISBLANK(X8)),"N/A",IF(ABS((Z8-X8)/X8)&gt;0.25,"&gt; 25%","ok"))</f>
        <v>N/A</v>
      </c>
      <c r="BP8" s="666" t="str">
        <f aca="true" t="shared" si="8" ref="BP8:BP16">IF(OR(ISBLANK(AB8),ISBLANK(Z8)),"N/A",IF(ABS((AB8-Z8)/Z8)&gt;0.25,"&gt; 25%","ok"))</f>
        <v>N/A</v>
      </c>
      <c r="BQ8" s="666" t="str">
        <f aca="true" t="shared" si="9" ref="BQ8:BQ16">IF(OR(ISBLANK(AD8),ISBLANK(AB8)),"N/A",IF(ABS((AD8-AB8)/AB8)&gt;0.25,"&gt; 25%","ok"))</f>
        <v>N/A</v>
      </c>
      <c r="BR8" s="666" t="str">
        <f aca="true" t="shared" si="10" ref="BR8:BR16">IF(OR(ISBLANK(AF8),ISBLANK(AD8)),"N/A",IF(ABS((AF8-AD8)/AD8)&gt;0.25,"&gt; 25%","ok"))</f>
        <v>N/A</v>
      </c>
      <c r="BS8" s="666" t="str">
        <f aca="true" t="shared" si="11" ref="BS8:BS16">IF(OR(ISBLANK(AH8),ISBLANK(AF8)),"N/A",IF(ABS((AH8-AF8)/AF8)&gt;0.25,"&gt; 25%","ok"))</f>
        <v>N/A</v>
      </c>
      <c r="BT8" s="666" t="str">
        <f aca="true" t="shared" si="12" ref="BT8:BT16">IF(OR(ISBLANK(AJ8),ISBLANK(AH8)),"N/A",IF(ABS((AJ8-AH8)/AH8)&gt;0.25,"&gt; 25%","ok"))</f>
        <v>N/A</v>
      </c>
      <c r="BU8" s="666" t="str">
        <f aca="true" t="shared" si="13" ref="BU8:BU16">IF(OR(ISBLANK(AL8),ISBLANK(AJ8)),"N/A",IF(ABS((AL8-AJ8)/AJ8)&gt;0.25,"&gt; 25%","ok"))</f>
        <v>N/A</v>
      </c>
      <c r="BV8" s="666" t="str">
        <f aca="true" t="shared" si="14" ref="BV8:BV16">IF(OR(ISBLANK(AN8),ISBLANK(AL8)),"N/A",IF(ABS((AN8-AL8)/AL8)&gt;0.25,"&gt; 25%","ok"))</f>
        <v>N/A</v>
      </c>
      <c r="BW8" s="666" t="str">
        <f aca="true" t="shared" si="15" ref="BW8:BW16">IF(OR(ISBLANK(AP8),ISBLANK(AN8)),"N/A",IF(ABS((AP8-AN8)/AN8)&gt;0.25,"&gt; 25%","ok"))</f>
        <v>N/A</v>
      </c>
      <c r="BX8" s="666" t="str">
        <f aca="true" t="shared" si="16" ref="BX8:BX16">IF(OR(ISBLANK(AR8),ISBLANK(AP8)),"N/A",IF(ABS((AR8-AP8)/AP8)&gt;0.25,"&gt; 25%","ok"))</f>
        <v>N/A</v>
      </c>
      <c r="BY8" s="666" t="str">
        <f>IF(OR(ISBLANK(AT8),ISBLANK(AR8)),"N/A",IF(ABS((AT8-AR8)/AR8)&gt;0.25,"&gt; 25%","ok"))</f>
        <v>N/A</v>
      </c>
      <c r="BZ8" s="666" t="str">
        <f aca="true" t="shared" si="17" ref="BZ8:BZ16">IF(OR(ISBLANK(AV8),ISBLANK(AT8)),"N/A",IF(ABS((AV8-AT8)/AT8)&gt;0.25,"&gt; 25%","ok"))</f>
        <v>N/A</v>
      </c>
      <c r="CA8" s="666" t="str">
        <f aca="true" t="shared" si="18" ref="CA8:CA16">IF(OR(ISBLANK(AX8),ISBLANK(AV8)),"N/A",IF(ABS((AX8-AV8)/AV8)&gt;0.25,"&gt; 25%","ok"))</f>
        <v>N/A</v>
      </c>
      <c r="CB8" s="261"/>
      <c r="CC8" s="575"/>
      <c r="CD8" s="575"/>
      <c r="CE8" s="575"/>
      <c r="CF8" s="251">
        <v>8</v>
      </c>
      <c r="CG8" s="252" t="s">
        <v>35</v>
      </c>
      <c r="CH8" s="659">
        <v>41179.049999999996</v>
      </c>
      <c r="CI8" s="251">
        <v>26900</v>
      </c>
      <c r="CJ8" s="251">
        <v>3300</v>
      </c>
      <c r="CK8" s="251">
        <v>30200</v>
      </c>
    </row>
    <row r="9" spans="1:89" s="258" customFormat="1" ht="20.25" customHeight="1">
      <c r="A9" s="253"/>
      <c r="B9" s="254">
        <v>7</v>
      </c>
      <c r="C9" s="262">
        <v>2</v>
      </c>
      <c r="D9" s="263" t="s">
        <v>408</v>
      </c>
      <c r="E9" s="264" t="s">
        <v>327</v>
      </c>
      <c r="F9" s="555"/>
      <c r="G9" s="580"/>
      <c r="H9" s="555"/>
      <c r="I9" s="580"/>
      <c r="J9" s="555"/>
      <c r="K9" s="580"/>
      <c r="L9" s="555"/>
      <c r="M9" s="580"/>
      <c r="N9" s="555"/>
      <c r="O9" s="580"/>
      <c r="P9" s="555"/>
      <c r="Q9" s="580"/>
      <c r="R9" s="555"/>
      <c r="S9" s="580"/>
      <c r="T9" s="555"/>
      <c r="U9" s="580"/>
      <c r="V9" s="555"/>
      <c r="W9" s="580"/>
      <c r="X9" s="555"/>
      <c r="Y9" s="580"/>
      <c r="Z9" s="555"/>
      <c r="AA9" s="580"/>
      <c r="AB9" s="555"/>
      <c r="AC9" s="580"/>
      <c r="AD9" s="555"/>
      <c r="AE9" s="580"/>
      <c r="AF9" s="555"/>
      <c r="AG9" s="580"/>
      <c r="AH9" s="555"/>
      <c r="AI9" s="580"/>
      <c r="AJ9" s="555"/>
      <c r="AK9" s="580"/>
      <c r="AL9" s="555"/>
      <c r="AM9" s="580"/>
      <c r="AN9" s="555"/>
      <c r="AO9" s="580"/>
      <c r="AP9" s="555"/>
      <c r="AQ9" s="580"/>
      <c r="AR9" s="555"/>
      <c r="AS9" s="580"/>
      <c r="AT9" s="555"/>
      <c r="AU9" s="580"/>
      <c r="AV9" s="555"/>
      <c r="AW9" s="580"/>
      <c r="AX9" s="555"/>
      <c r="AY9" s="580"/>
      <c r="BA9" s="259"/>
      <c r="BB9" s="667">
        <v>2</v>
      </c>
      <c r="BC9" s="668" t="s">
        <v>191</v>
      </c>
      <c r="BD9" s="669" t="s">
        <v>245</v>
      </c>
      <c r="BE9" s="662" t="str">
        <f aca="true" t="shared" si="19" ref="BE9:BE16">IF(OR(ISERR(AVERAGE(H9:AY9)),ISBLANK(F9)),"N/A",IF(OR(F9&lt;AVERAGE(H9:AY9)*0.75,F9&gt;AVERAGE(H9:AY9)*1.25),"&lt;&gt;Average","ok"))</f>
        <v>N/A</v>
      </c>
      <c r="BF9" s="670" t="s">
        <v>249</v>
      </c>
      <c r="BG9" s="662" t="str">
        <f t="shared" si="0"/>
        <v>N/A</v>
      </c>
      <c r="BH9" s="666" t="str">
        <f aca="true" t="shared" si="20" ref="BH9:BH16">IF(OR(ISBLANK(L9),ISBLANK(J9)),"N/A",IF(ABS((L9-J9)/J9)&gt;1,"&gt; 100%","ok"))</f>
        <v>N/A</v>
      </c>
      <c r="BI9" s="666" t="str">
        <f t="shared" si="1"/>
        <v>N/A</v>
      </c>
      <c r="BJ9" s="666" t="str">
        <f t="shared" si="2"/>
        <v>N/A</v>
      </c>
      <c r="BK9" s="666" t="str">
        <f t="shared" si="3"/>
        <v>N/A</v>
      </c>
      <c r="BL9" s="666" t="str">
        <f t="shared" si="4"/>
        <v>N/A</v>
      </c>
      <c r="BM9" s="666" t="str">
        <f t="shared" si="5"/>
        <v>N/A</v>
      </c>
      <c r="BN9" s="666" t="str">
        <f t="shared" si="6"/>
        <v>N/A</v>
      </c>
      <c r="BO9" s="666" t="str">
        <f t="shared" si="7"/>
        <v>N/A</v>
      </c>
      <c r="BP9" s="666" t="str">
        <f t="shared" si="8"/>
        <v>N/A</v>
      </c>
      <c r="BQ9" s="666" t="str">
        <f t="shared" si="9"/>
        <v>N/A</v>
      </c>
      <c r="BR9" s="666" t="str">
        <f t="shared" si="10"/>
        <v>N/A</v>
      </c>
      <c r="BS9" s="666" t="str">
        <f t="shared" si="11"/>
        <v>N/A</v>
      </c>
      <c r="BT9" s="666" t="str">
        <f t="shared" si="12"/>
        <v>N/A</v>
      </c>
      <c r="BU9" s="666" t="str">
        <f t="shared" si="13"/>
        <v>N/A</v>
      </c>
      <c r="BV9" s="666" t="str">
        <f t="shared" si="14"/>
        <v>N/A</v>
      </c>
      <c r="BW9" s="666" t="str">
        <f t="shared" si="15"/>
        <v>N/A</v>
      </c>
      <c r="BX9" s="666" t="str">
        <f t="shared" si="16"/>
        <v>N/A</v>
      </c>
      <c r="BY9" s="666" t="str">
        <f aca="true" t="shared" si="21" ref="BY9:BY16">IF(OR(ISBLANK(AT9),ISBLANK(AR9)),"N/A",IF(ABS((AT9-AR9)/AR9)&gt;0.25,"&gt; 25%","ok"))</f>
        <v>N/A</v>
      </c>
      <c r="BZ9" s="666" t="str">
        <f t="shared" si="17"/>
        <v>N/A</v>
      </c>
      <c r="CA9" s="666" t="str">
        <f t="shared" si="18"/>
        <v>N/A</v>
      </c>
      <c r="CB9" s="265"/>
      <c r="CC9" s="575"/>
      <c r="CD9" s="575"/>
      <c r="CE9" s="575"/>
      <c r="CF9" s="251">
        <v>12</v>
      </c>
      <c r="CG9" s="252" t="s">
        <v>36</v>
      </c>
      <c r="CH9" s="659">
        <v>211974.94900000002</v>
      </c>
      <c r="CI9" s="251">
        <v>11247</v>
      </c>
      <c r="CJ9" s="251">
        <v>390</v>
      </c>
      <c r="CK9" s="251">
        <v>11667</v>
      </c>
    </row>
    <row r="10" spans="1:89" s="267" customFormat="1" ht="20.25" customHeight="1">
      <c r="A10" s="266" t="s">
        <v>239</v>
      </c>
      <c r="B10" s="254">
        <v>5</v>
      </c>
      <c r="C10" s="255">
        <v>3</v>
      </c>
      <c r="D10" s="263" t="s">
        <v>328</v>
      </c>
      <c r="E10" s="264" t="s">
        <v>327</v>
      </c>
      <c r="F10" s="555"/>
      <c r="G10" s="580"/>
      <c r="H10" s="555"/>
      <c r="I10" s="580"/>
      <c r="J10" s="555"/>
      <c r="K10" s="580"/>
      <c r="L10" s="555"/>
      <c r="M10" s="580"/>
      <c r="N10" s="555"/>
      <c r="O10" s="580"/>
      <c r="P10" s="555"/>
      <c r="Q10" s="580"/>
      <c r="R10" s="555"/>
      <c r="S10" s="580"/>
      <c r="T10" s="555"/>
      <c r="U10" s="580"/>
      <c r="V10" s="555"/>
      <c r="W10" s="580"/>
      <c r="X10" s="555"/>
      <c r="Y10" s="580"/>
      <c r="Z10" s="555"/>
      <c r="AA10" s="580"/>
      <c r="AB10" s="555"/>
      <c r="AC10" s="580"/>
      <c r="AD10" s="555"/>
      <c r="AE10" s="580"/>
      <c r="AF10" s="555"/>
      <c r="AG10" s="580"/>
      <c r="AH10" s="555"/>
      <c r="AI10" s="580"/>
      <c r="AJ10" s="555"/>
      <c r="AK10" s="580"/>
      <c r="AL10" s="555"/>
      <c r="AM10" s="580"/>
      <c r="AN10" s="555"/>
      <c r="AO10" s="580"/>
      <c r="AP10" s="555"/>
      <c r="AQ10" s="580"/>
      <c r="AR10" s="555"/>
      <c r="AS10" s="580"/>
      <c r="AT10" s="555"/>
      <c r="AU10" s="580"/>
      <c r="AV10" s="555"/>
      <c r="AW10" s="580"/>
      <c r="AX10" s="555"/>
      <c r="AY10" s="580"/>
      <c r="BA10" s="268"/>
      <c r="BB10" s="662">
        <v>3</v>
      </c>
      <c r="BC10" s="668" t="s">
        <v>213</v>
      </c>
      <c r="BD10" s="667" t="s">
        <v>245</v>
      </c>
      <c r="BE10" s="662" t="str">
        <f t="shared" si="19"/>
        <v>N/A</v>
      </c>
      <c r="BF10" s="670" t="s">
        <v>249</v>
      </c>
      <c r="BG10" s="662" t="str">
        <f t="shared" si="0"/>
        <v>N/A</v>
      </c>
      <c r="BH10" s="666" t="str">
        <f t="shared" si="20"/>
        <v>N/A</v>
      </c>
      <c r="BI10" s="666" t="str">
        <f t="shared" si="1"/>
        <v>N/A</v>
      </c>
      <c r="BJ10" s="666" t="str">
        <f t="shared" si="2"/>
        <v>N/A</v>
      </c>
      <c r="BK10" s="666" t="str">
        <f t="shared" si="3"/>
        <v>N/A</v>
      </c>
      <c r="BL10" s="666" t="str">
        <f t="shared" si="4"/>
        <v>N/A</v>
      </c>
      <c r="BM10" s="666" t="str">
        <f t="shared" si="5"/>
        <v>N/A</v>
      </c>
      <c r="BN10" s="666" t="str">
        <f t="shared" si="6"/>
        <v>N/A</v>
      </c>
      <c r="BO10" s="666" t="str">
        <f t="shared" si="7"/>
        <v>N/A</v>
      </c>
      <c r="BP10" s="666" t="str">
        <f t="shared" si="8"/>
        <v>N/A</v>
      </c>
      <c r="BQ10" s="666" t="str">
        <f t="shared" si="9"/>
        <v>N/A</v>
      </c>
      <c r="BR10" s="666" t="str">
        <f t="shared" si="10"/>
        <v>N/A</v>
      </c>
      <c r="BS10" s="666" t="str">
        <f t="shared" si="11"/>
        <v>N/A</v>
      </c>
      <c r="BT10" s="666" t="str">
        <f t="shared" si="12"/>
        <v>N/A</v>
      </c>
      <c r="BU10" s="666" t="str">
        <f t="shared" si="13"/>
        <v>N/A</v>
      </c>
      <c r="BV10" s="666" t="str">
        <f t="shared" si="14"/>
        <v>N/A</v>
      </c>
      <c r="BW10" s="666" t="str">
        <f t="shared" si="15"/>
        <v>N/A</v>
      </c>
      <c r="BX10" s="666" t="str">
        <f t="shared" si="16"/>
        <v>N/A</v>
      </c>
      <c r="BY10" s="666" t="str">
        <f t="shared" si="21"/>
        <v>N/A</v>
      </c>
      <c r="BZ10" s="666" t="str">
        <f t="shared" si="17"/>
        <v>N/A</v>
      </c>
      <c r="CA10" s="666" t="str">
        <f t="shared" si="18"/>
        <v>N/A</v>
      </c>
      <c r="CB10" s="265"/>
      <c r="CC10" s="576"/>
      <c r="CD10" s="576"/>
      <c r="CE10" s="576"/>
      <c r="CF10" s="251">
        <v>20</v>
      </c>
      <c r="CG10" s="252" t="s">
        <v>269</v>
      </c>
      <c r="CH10" s="659">
        <v>472.4</v>
      </c>
      <c r="CI10" s="251">
        <v>315.59999999999997</v>
      </c>
      <c r="CJ10" s="251">
        <v>0</v>
      </c>
      <c r="CK10" s="251">
        <v>315.59999999999997</v>
      </c>
    </row>
    <row r="11" spans="1:89" s="258" customFormat="1" ht="33" customHeight="1">
      <c r="A11" s="253"/>
      <c r="B11" s="254">
        <v>8</v>
      </c>
      <c r="C11" s="262">
        <v>4</v>
      </c>
      <c r="D11" s="263" t="s">
        <v>410</v>
      </c>
      <c r="E11" s="264" t="s">
        <v>327</v>
      </c>
      <c r="F11" s="555"/>
      <c r="G11" s="580"/>
      <c r="H11" s="555"/>
      <c r="I11" s="580"/>
      <c r="J11" s="555"/>
      <c r="K11" s="580"/>
      <c r="L11" s="555"/>
      <c r="M11" s="580"/>
      <c r="N11" s="555"/>
      <c r="O11" s="580"/>
      <c r="P11" s="555"/>
      <c r="Q11" s="580"/>
      <c r="R11" s="555"/>
      <c r="S11" s="580"/>
      <c r="T11" s="555"/>
      <c r="U11" s="580"/>
      <c r="V11" s="555"/>
      <c r="W11" s="580"/>
      <c r="X11" s="555"/>
      <c r="Y11" s="580"/>
      <c r="Z11" s="555"/>
      <c r="AA11" s="580"/>
      <c r="AB11" s="555"/>
      <c r="AC11" s="580"/>
      <c r="AD11" s="555"/>
      <c r="AE11" s="580"/>
      <c r="AF11" s="555"/>
      <c r="AG11" s="580"/>
      <c r="AH11" s="555"/>
      <c r="AI11" s="580"/>
      <c r="AJ11" s="555"/>
      <c r="AK11" s="580"/>
      <c r="AL11" s="555"/>
      <c r="AM11" s="580"/>
      <c r="AN11" s="555"/>
      <c r="AO11" s="580"/>
      <c r="AP11" s="555"/>
      <c r="AQ11" s="580"/>
      <c r="AR11" s="555"/>
      <c r="AS11" s="580"/>
      <c r="AT11" s="555"/>
      <c r="AU11" s="580"/>
      <c r="AV11" s="555"/>
      <c r="AW11" s="580"/>
      <c r="AX11" s="555"/>
      <c r="AY11" s="580"/>
      <c r="BA11" s="259"/>
      <c r="BB11" s="667">
        <v>4</v>
      </c>
      <c r="BC11" s="668" t="s">
        <v>512</v>
      </c>
      <c r="BD11" s="669" t="s">
        <v>245</v>
      </c>
      <c r="BE11" s="662" t="str">
        <f t="shared" si="19"/>
        <v>N/A</v>
      </c>
      <c r="BF11" s="670" t="s">
        <v>249</v>
      </c>
      <c r="BG11" s="662" t="str">
        <f t="shared" si="0"/>
        <v>N/A</v>
      </c>
      <c r="BH11" s="666" t="str">
        <f t="shared" si="20"/>
        <v>N/A</v>
      </c>
      <c r="BI11" s="666" t="str">
        <f t="shared" si="1"/>
        <v>N/A</v>
      </c>
      <c r="BJ11" s="666" t="str">
        <f t="shared" si="2"/>
        <v>N/A</v>
      </c>
      <c r="BK11" s="666" t="str">
        <f t="shared" si="3"/>
        <v>N/A</v>
      </c>
      <c r="BL11" s="666" t="str">
        <f t="shared" si="4"/>
        <v>N/A</v>
      </c>
      <c r="BM11" s="666" t="str">
        <f t="shared" si="5"/>
        <v>N/A</v>
      </c>
      <c r="BN11" s="666" t="str">
        <f t="shared" si="6"/>
        <v>N/A</v>
      </c>
      <c r="BO11" s="666" t="str">
        <f t="shared" si="7"/>
        <v>N/A</v>
      </c>
      <c r="BP11" s="666" t="str">
        <f t="shared" si="8"/>
        <v>N/A</v>
      </c>
      <c r="BQ11" s="666" t="str">
        <f t="shared" si="9"/>
        <v>N/A</v>
      </c>
      <c r="BR11" s="666" t="str">
        <f t="shared" si="10"/>
        <v>N/A</v>
      </c>
      <c r="BS11" s="666" t="str">
        <f t="shared" si="11"/>
        <v>N/A</v>
      </c>
      <c r="BT11" s="666" t="str">
        <f t="shared" si="12"/>
        <v>N/A</v>
      </c>
      <c r="BU11" s="666" t="str">
        <f t="shared" si="13"/>
        <v>N/A</v>
      </c>
      <c r="BV11" s="666" t="str">
        <f t="shared" si="14"/>
        <v>N/A</v>
      </c>
      <c r="BW11" s="666" t="str">
        <f t="shared" si="15"/>
        <v>N/A</v>
      </c>
      <c r="BX11" s="666" t="str">
        <f t="shared" si="16"/>
        <v>N/A</v>
      </c>
      <c r="BY11" s="666" t="str">
        <f t="shared" si="21"/>
        <v>N/A</v>
      </c>
      <c r="BZ11" s="666" t="str">
        <f t="shared" si="17"/>
        <v>N/A</v>
      </c>
      <c r="CA11" s="666" t="str">
        <f t="shared" si="18"/>
        <v>N/A</v>
      </c>
      <c r="CB11" s="265"/>
      <c r="CC11" s="575"/>
      <c r="CD11" s="575"/>
      <c r="CE11" s="575"/>
      <c r="CF11" s="251">
        <v>24</v>
      </c>
      <c r="CG11" s="252" t="s">
        <v>37</v>
      </c>
      <c r="CH11" s="659">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X12" s="556"/>
      <c r="AY12" s="581"/>
      <c r="BA12" s="268"/>
      <c r="BB12" s="662">
        <v>5</v>
      </c>
      <c r="BC12" s="671" t="s">
        <v>212</v>
      </c>
      <c r="BD12" s="669" t="s">
        <v>245</v>
      </c>
      <c r="BE12" s="662" t="str">
        <f>IF(OR(ISERR(AVERAGE(H12:AY12)),ISBLANK(F12)),"N/A",IF(OR(F12&lt;AVERAGE(H12:AY12)*0.75,F12&gt;AVERAGE(H12:AY12)*1.25),"&lt;&gt;Average","ok"))</f>
        <v>N/A</v>
      </c>
      <c r="BF12" s="670" t="s">
        <v>249</v>
      </c>
      <c r="BG12" s="662" t="str">
        <f t="shared" si="0"/>
        <v>N/A</v>
      </c>
      <c r="BH12" s="666" t="str">
        <f t="shared" si="20"/>
        <v>N/A</v>
      </c>
      <c r="BI12" s="666" t="str">
        <f t="shared" si="1"/>
        <v>N/A</v>
      </c>
      <c r="BJ12" s="666" t="str">
        <f t="shared" si="2"/>
        <v>N/A</v>
      </c>
      <c r="BK12" s="666" t="str">
        <f t="shared" si="3"/>
        <v>N/A</v>
      </c>
      <c r="BL12" s="666" t="str">
        <f t="shared" si="4"/>
        <v>N/A</v>
      </c>
      <c r="BM12" s="666" t="str">
        <f t="shared" si="5"/>
        <v>N/A</v>
      </c>
      <c r="BN12" s="666" t="str">
        <f t="shared" si="6"/>
        <v>N/A</v>
      </c>
      <c r="BO12" s="666" t="str">
        <f t="shared" si="7"/>
        <v>N/A</v>
      </c>
      <c r="BP12" s="666" t="str">
        <f t="shared" si="8"/>
        <v>N/A</v>
      </c>
      <c r="BQ12" s="666" t="str">
        <f t="shared" si="9"/>
        <v>N/A</v>
      </c>
      <c r="BR12" s="666" t="str">
        <f t="shared" si="10"/>
        <v>N/A</v>
      </c>
      <c r="BS12" s="666" t="str">
        <f t="shared" si="11"/>
        <v>N/A</v>
      </c>
      <c r="BT12" s="666" t="str">
        <f t="shared" si="12"/>
        <v>N/A</v>
      </c>
      <c r="BU12" s="666" t="str">
        <f t="shared" si="13"/>
        <v>N/A</v>
      </c>
      <c r="BV12" s="666" t="str">
        <f t="shared" si="14"/>
        <v>N/A</v>
      </c>
      <c r="BW12" s="666" t="str">
        <f t="shared" si="15"/>
        <v>N/A</v>
      </c>
      <c r="BX12" s="666" t="str">
        <f t="shared" si="16"/>
        <v>N/A</v>
      </c>
      <c r="BY12" s="666" t="str">
        <f t="shared" si="21"/>
        <v>N/A</v>
      </c>
      <c r="BZ12" s="666" t="str">
        <f t="shared" si="17"/>
        <v>N/A</v>
      </c>
      <c r="CA12" s="666" t="str">
        <f t="shared" si="18"/>
        <v>N/A</v>
      </c>
      <c r="CB12" s="265"/>
      <c r="CC12" s="576"/>
      <c r="CD12" s="576"/>
      <c r="CE12" s="576"/>
      <c r="CF12" s="251">
        <v>28</v>
      </c>
      <c r="CG12" s="252" t="s">
        <v>38</v>
      </c>
      <c r="CH12" s="659">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62">
        <v>6</v>
      </c>
      <c r="BC13" s="668" t="s">
        <v>183</v>
      </c>
      <c r="BD13" s="669" t="s">
        <v>245</v>
      </c>
      <c r="BE13" s="662" t="str">
        <f t="shared" si="19"/>
        <v>N/A</v>
      </c>
      <c r="BF13" s="672" t="s">
        <v>249</v>
      </c>
      <c r="BG13" s="667" t="str">
        <f t="shared" si="0"/>
        <v>N/A</v>
      </c>
      <c r="BH13" s="666" t="str">
        <f t="shared" si="20"/>
        <v>N/A</v>
      </c>
      <c r="BI13" s="669" t="str">
        <f t="shared" si="1"/>
        <v>N/A</v>
      </c>
      <c r="BJ13" s="669" t="str">
        <f t="shared" si="2"/>
        <v>N/A</v>
      </c>
      <c r="BK13" s="669" t="str">
        <f t="shared" si="3"/>
        <v>N/A</v>
      </c>
      <c r="BL13" s="669" t="str">
        <f t="shared" si="4"/>
        <v>N/A</v>
      </c>
      <c r="BM13" s="669" t="str">
        <f t="shared" si="5"/>
        <v>N/A</v>
      </c>
      <c r="BN13" s="666" t="str">
        <f t="shared" si="6"/>
        <v>N/A</v>
      </c>
      <c r="BO13" s="666" t="str">
        <f t="shared" si="7"/>
        <v>N/A</v>
      </c>
      <c r="BP13" s="666" t="str">
        <f t="shared" si="8"/>
        <v>N/A</v>
      </c>
      <c r="BQ13" s="666" t="str">
        <f t="shared" si="9"/>
        <v>N/A</v>
      </c>
      <c r="BR13" s="666" t="str">
        <f t="shared" si="10"/>
        <v>N/A</v>
      </c>
      <c r="BS13" s="666" t="str">
        <f t="shared" si="11"/>
        <v>N/A</v>
      </c>
      <c r="BT13" s="666" t="str">
        <f t="shared" si="12"/>
        <v>N/A</v>
      </c>
      <c r="BU13" s="666" t="str">
        <f t="shared" si="13"/>
        <v>N/A</v>
      </c>
      <c r="BV13" s="666" t="str">
        <f t="shared" si="14"/>
        <v>N/A</v>
      </c>
      <c r="BW13" s="666" t="str">
        <f t="shared" si="15"/>
        <v>N/A</v>
      </c>
      <c r="BX13" s="666" t="str">
        <f t="shared" si="16"/>
        <v>N/A</v>
      </c>
      <c r="BY13" s="666" t="str">
        <f t="shared" si="21"/>
        <v>N/A</v>
      </c>
      <c r="BZ13" s="666" t="str">
        <f t="shared" si="17"/>
        <v>N/A</v>
      </c>
      <c r="CA13" s="666" t="str">
        <f t="shared" si="18"/>
        <v>N/A</v>
      </c>
      <c r="CB13" s="265"/>
      <c r="CC13" s="576"/>
      <c r="CD13" s="576"/>
      <c r="CE13" s="576"/>
      <c r="CF13" s="251">
        <v>32</v>
      </c>
      <c r="CG13" s="252" t="s">
        <v>39</v>
      </c>
      <c r="CH13" s="659">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c r="O14" s="582"/>
      <c r="P14" s="565"/>
      <c r="Q14" s="582"/>
      <c r="R14" s="565"/>
      <c r="S14" s="582"/>
      <c r="T14" s="565"/>
      <c r="U14" s="582"/>
      <c r="V14" s="565"/>
      <c r="W14" s="582"/>
      <c r="X14" s="565"/>
      <c r="Y14" s="582"/>
      <c r="Z14" s="565"/>
      <c r="AA14" s="582"/>
      <c r="AB14" s="565"/>
      <c r="AC14" s="582"/>
      <c r="AD14" s="565"/>
      <c r="AE14" s="582"/>
      <c r="AF14" s="565"/>
      <c r="AG14" s="582"/>
      <c r="AH14" s="565"/>
      <c r="AI14" s="582"/>
      <c r="AJ14" s="565"/>
      <c r="AK14" s="582"/>
      <c r="AL14" s="565"/>
      <c r="AM14" s="582"/>
      <c r="AN14" s="565"/>
      <c r="AO14" s="582"/>
      <c r="AP14" s="565"/>
      <c r="AQ14" s="582"/>
      <c r="AR14" s="565"/>
      <c r="AS14" s="582"/>
      <c r="AT14" s="565"/>
      <c r="AU14" s="582"/>
      <c r="AV14" s="565"/>
      <c r="AW14" s="582"/>
      <c r="AX14" s="565"/>
      <c r="AY14" s="582"/>
      <c r="BA14" s="268"/>
      <c r="BB14" s="667">
        <v>7</v>
      </c>
      <c r="BC14" s="673" t="s">
        <v>702</v>
      </c>
      <c r="BD14" s="669" t="s">
        <v>245</v>
      </c>
      <c r="BE14" s="662" t="str">
        <f t="shared" si="19"/>
        <v>N/A</v>
      </c>
      <c r="BF14" s="672" t="s">
        <v>249</v>
      </c>
      <c r="BG14" s="667" t="str">
        <f t="shared" si="0"/>
        <v>N/A</v>
      </c>
      <c r="BH14" s="666" t="str">
        <f t="shared" si="20"/>
        <v>N/A</v>
      </c>
      <c r="BI14" s="674" t="str">
        <f t="shared" si="1"/>
        <v>N/A</v>
      </c>
      <c r="BJ14" s="674" t="str">
        <f t="shared" si="2"/>
        <v>N/A</v>
      </c>
      <c r="BK14" s="674" t="str">
        <f t="shared" si="3"/>
        <v>N/A</v>
      </c>
      <c r="BL14" s="674" t="str">
        <f t="shared" si="4"/>
        <v>N/A</v>
      </c>
      <c r="BM14" s="674" t="str">
        <f t="shared" si="5"/>
        <v>N/A</v>
      </c>
      <c r="BN14" s="666" t="str">
        <f t="shared" si="6"/>
        <v>N/A</v>
      </c>
      <c r="BO14" s="666" t="str">
        <f t="shared" si="7"/>
        <v>N/A</v>
      </c>
      <c r="BP14" s="666" t="str">
        <f t="shared" si="8"/>
        <v>N/A</v>
      </c>
      <c r="BQ14" s="666" t="str">
        <f t="shared" si="9"/>
        <v>N/A</v>
      </c>
      <c r="BR14" s="666" t="str">
        <f t="shared" si="10"/>
        <v>N/A</v>
      </c>
      <c r="BS14" s="666" t="str">
        <f t="shared" si="11"/>
        <v>N/A</v>
      </c>
      <c r="BT14" s="666" t="str">
        <f t="shared" si="12"/>
        <v>N/A</v>
      </c>
      <c r="BU14" s="666" t="str">
        <f t="shared" si="13"/>
        <v>N/A</v>
      </c>
      <c r="BV14" s="666" t="str">
        <f t="shared" si="14"/>
        <v>N/A</v>
      </c>
      <c r="BW14" s="666" t="str">
        <f t="shared" si="15"/>
        <v>N/A</v>
      </c>
      <c r="BX14" s="666" t="str">
        <f t="shared" si="16"/>
        <v>N/A</v>
      </c>
      <c r="BY14" s="666" t="str">
        <f t="shared" si="21"/>
        <v>N/A</v>
      </c>
      <c r="BZ14" s="666" t="str">
        <f t="shared" si="17"/>
        <v>N/A</v>
      </c>
      <c r="CA14" s="666" t="str">
        <f t="shared" si="18"/>
        <v>N/A</v>
      </c>
      <c r="CB14" s="275"/>
      <c r="CC14" s="576"/>
      <c r="CD14" s="576"/>
      <c r="CE14" s="576"/>
      <c r="CF14" s="251">
        <v>51</v>
      </c>
      <c r="CG14" s="252" t="s">
        <v>40</v>
      </c>
      <c r="CH14" s="659">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62">
        <v>8</v>
      </c>
      <c r="BC15" s="675" t="s">
        <v>263</v>
      </c>
      <c r="BD15" s="669" t="s">
        <v>245</v>
      </c>
      <c r="BE15" s="662" t="str">
        <f t="shared" si="19"/>
        <v>N/A</v>
      </c>
      <c r="BF15" s="672" t="s">
        <v>249</v>
      </c>
      <c r="BG15" s="667" t="str">
        <f t="shared" si="0"/>
        <v>N/A</v>
      </c>
      <c r="BH15" s="666" t="str">
        <f t="shared" si="20"/>
        <v>N/A</v>
      </c>
      <c r="BI15" s="669" t="str">
        <f t="shared" si="1"/>
        <v>N/A</v>
      </c>
      <c r="BJ15" s="669" t="str">
        <f t="shared" si="2"/>
        <v>N/A</v>
      </c>
      <c r="BK15" s="669" t="str">
        <f t="shared" si="3"/>
        <v>N/A</v>
      </c>
      <c r="BL15" s="669" t="str">
        <f t="shared" si="4"/>
        <v>N/A</v>
      </c>
      <c r="BM15" s="669" t="str">
        <f t="shared" si="5"/>
        <v>N/A</v>
      </c>
      <c r="BN15" s="666" t="str">
        <f t="shared" si="6"/>
        <v>N/A</v>
      </c>
      <c r="BO15" s="666" t="str">
        <f t="shared" si="7"/>
        <v>N/A</v>
      </c>
      <c r="BP15" s="666" t="str">
        <f t="shared" si="8"/>
        <v>N/A</v>
      </c>
      <c r="BQ15" s="666" t="str">
        <f t="shared" si="9"/>
        <v>N/A</v>
      </c>
      <c r="BR15" s="666" t="str">
        <f t="shared" si="10"/>
        <v>N/A</v>
      </c>
      <c r="BS15" s="666" t="str">
        <f t="shared" si="11"/>
        <v>N/A</v>
      </c>
      <c r="BT15" s="666" t="str">
        <f t="shared" si="12"/>
        <v>N/A</v>
      </c>
      <c r="BU15" s="666" t="str">
        <f t="shared" si="13"/>
        <v>N/A</v>
      </c>
      <c r="BV15" s="666" t="str">
        <f t="shared" si="14"/>
        <v>N/A</v>
      </c>
      <c r="BW15" s="666" t="str">
        <f t="shared" si="15"/>
        <v>N/A</v>
      </c>
      <c r="BX15" s="666" t="str">
        <f t="shared" si="16"/>
        <v>N/A</v>
      </c>
      <c r="BY15" s="666" t="str">
        <f t="shared" si="21"/>
        <v>N/A</v>
      </c>
      <c r="BZ15" s="666" t="str">
        <f t="shared" si="17"/>
        <v>N/A</v>
      </c>
      <c r="CA15" s="666" t="str">
        <f t="shared" si="18"/>
        <v>N/A</v>
      </c>
      <c r="CB15" s="265"/>
      <c r="CC15" s="576"/>
      <c r="CD15" s="576"/>
      <c r="CE15" s="576"/>
      <c r="CF15" s="251">
        <v>31</v>
      </c>
      <c r="CG15" s="252" t="s">
        <v>41</v>
      </c>
      <c r="CH15" s="659">
        <v>38710.2</v>
      </c>
      <c r="CI15" s="251">
        <v>8115</v>
      </c>
      <c r="CJ15" s="251">
        <v>19760</v>
      </c>
      <c r="CK15" s="251">
        <v>34675</v>
      </c>
    </row>
    <row r="16" spans="1:89" s="271" customFormat="1" ht="20.25" customHeight="1">
      <c r="A16" s="266"/>
      <c r="B16" s="254">
        <v>128</v>
      </c>
      <c r="C16" s="280">
        <v>9</v>
      </c>
      <c r="D16" s="281" t="s">
        <v>414</v>
      </c>
      <c r="E16" s="282" t="s">
        <v>327</v>
      </c>
      <c r="F16" s="558"/>
      <c r="G16" s="584"/>
      <c r="H16" s="558"/>
      <c r="I16" s="584"/>
      <c r="J16" s="558"/>
      <c r="K16" s="584"/>
      <c r="L16" s="558"/>
      <c r="M16" s="584"/>
      <c r="N16" s="558"/>
      <c r="O16" s="584"/>
      <c r="P16" s="558"/>
      <c r="Q16" s="584"/>
      <c r="R16" s="558"/>
      <c r="S16" s="584"/>
      <c r="T16" s="558"/>
      <c r="U16" s="584"/>
      <c r="V16" s="558"/>
      <c r="W16" s="584"/>
      <c r="X16" s="558"/>
      <c r="Y16" s="584"/>
      <c r="Z16" s="558"/>
      <c r="AA16" s="584"/>
      <c r="AB16" s="558"/>
      <c r="AC16" s="584"/>
      <c r="AD16" s="558"/>
      <c r="AE16" s="584"/>
      <c r="AF16" s="558"/>
      <c r="AG16" s="584"/>
      <c r="AH16" s="558"/>
      <c r="AI16" s="584"/>
      <c r="AJ16" s="558"/>
      <c r="AK16" s="584"/>
      <c r="AL16" s="558"/>
      <c r="AM16" s="584"/>
      <c r="AN16" s="558"/>
      <c r="AO16" s="584"/>
      <c r="AP16" s="558"/>
      <c r="AQ16" s="584"/>
      <c r="AR16" s="558"/>
      <c r="AS16" s="584"/>
      <c r="AT16" s="558"/>
      <c r="AU16" s="584"/>
      <c r="AV16" s="558"/>
      <c r="AW16" s="584"/>
      <c r="AX16" s="558"/>
      <c r="AY16" s="584"/>
      <c r="BA16" s="268"/>
      <c r="BB16" s="676">
        <v>9</v>
      </c>
      <c r="BC16" s="675" t="s">
        <v>250</v>
      </c>
      <c r="BD16" s="669" t="s">
        <v>245</v>
      </c>
      <c r="BE16" s="662" t="str">
        <f t="shared" si="19"/>
        <v>N/A</v>
      </c>
      <c r="BF16" s="672" t="s">
        <v>249</v>
      </c>
      <c r="BG16" s="676" t="str">
        <f t="shared" si="0"/>
        <v>N/A</v>
      </c>
      <c r="BH16" s="666" t="str">
        <f t="shared" si="20"/>
        <v>N/A</v>
      </c>
      <c r="BI16" s="674" t="str">
        <f t="shared" si="1"/>
        <v>N/A</v>
      </c>
      <c r="BJ16" s="674" t="str">
        <f t="shared" si="2"/>
        <v>N/A</v>
      </c>
      <c r="BK16" s="674" t="str">
        <f t="shared" si="3"/>
        <v>N/A</v>
      </c>
      <c r="BL16" s="674" t="str">
        <f t="shared" si="4"/>
        <v>N/A</v>
      </c>
      <c r="BM16" s="674" t="str">
        <f t="shared" si="5"/>
        <v>N/A</v>
      </c>
      <c r="BN16" s="666" t="str">
        <f t="shared" si="6"/>
        <v>N/A</v>
      </c>
      <c r="BO16" s="666" t="str">
        <f t="shared" si="7"/>
        <v>N/A</v>
      </c>
      <c r="BP16" s="666" t="str">
        <f t="shared" si="8"/>
        <v>N/A</v>
      </c>
      <c r="BQ16" s="666" t="str">
        <f t="shared" si="9"/>
        <v>N/A</v>
      </c>
      <c r="BR16" s="666" t="str">
        <f t="shared" si="10"/>
        <v>N/A</v>
      </c>
      <c r="BS16" s="666" t="str">
        <f t="shared" si="11"/>
        <v>N/A</v>
      </c>
      <c r="BT16" s="666" t="str">
        <f t="shared" si="12"/>
        <v>N/A</v>
      </c>
      <c r="BU16" s="666" t="str">
        <f t="shared" si="13"/>
        <v>N/A</v>
      </c>
      <c r="BV16" s="666" t="str">
        <f t="shared" si="14"/>
        <v>N/A</v>
      </c>
      <c r="BW16" s="666" t="str">
        <f t="shared" si="15"/>
        <v>N/A</v>
      </c>
      <c r="BX16" s="666" t="str">
        <f t="shared" si="16"/>
        <v>N/A</v>
      </c>
      <c r="BY16" s="666" t="str">
        <f t="shared" si="21"/>
        <v>N/A</v>
      </c>
      <c r="BZ16" s="666" t="str">
        <f t="shared" si="17"/>
        <v>N/A</v>
      </c>
      <c r="CA16" s="666" t="str">
        <f t="shared" si="18"/>
        <v>N/A</v>
      </c>
      <c r="CB16" s="279"/>
      <c r="CC16" s="576"/>
      <c r="CD16" s="576"/>
      <c r="CE16" s="576"/>
      <c r="CF16" s="251">
        <v>44</v>
      </c>
      <c r="CG16" s="252" t="s">
        <v>42</v>
      </c>
      <c r="CH16" s="659">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7"/>
      <c r="BC17" s="678"/>
      <c r="BD17" s="679"/>
      <c r="BE17" s="677"/>
      <c r="BF17" s="680"/>
      <c r="BG17" s="677"/>
      <c r="BH17" s="679"/>
      <c r="BI17" s="680"/>
      <c r="BJ17" s="680"/>
      <c r="BK17" s="680"/>
      <c r="BL17" s="679"/>
      <c r="BM17" s="679"/>
      <c r="BN17" s="679"/>
      <c r="BO17" s="679"/>
      <c r="BP17" s="679"/>
      <c r="BQ17" s="679"/>
      <c r="BR17" s="679"/>
      <c r="BS17" s="679"/>
      <c r="BT17" s="679"/>
      <c r="BU17" s="679"/>
      <c r="BV17" s="679"/>
      <c r="BW17" s="679"/>
      <c r="BX17" s="679"/>
      <c r="BY17" s="679"/>
      <c r="BZ17" s="679"/>
      <c r="CA17" s="679"/>
      <c r="CB17" s="286"/>
      <c r="CC17" s="576"/>
      <c r="CD17" s="576"/>
      <c r="CE17" s="576"/>
      <c r="CF17" s="251">
        <v>48</v>
      </c>
      <c r="CG17" s="252" t="s">
        <v>43</v>
      </c>
      <c r="CH17" s="659">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206"/>
      <c r="CC18" s="575"/>
      <c r="CD18" s="575"/>
      <c r="CE18" s="575"/>
      <c r="CF18" s="251">
        <v>50</v>
      </c>
      <c r="CG18" s="252" t="s">
        <v>44</v>
      </c>
      <c r="CH18" s="659">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6" t="s">
        <v>703</v>
      </c>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F19" s="251">
        <v>52</v>
      </c>
      <c r="CG19" s="252" t="s">
        <v>45</v>
      </c>
      <c r="CH19" s="659">
        <v>611.46</v>
      </c>
      <c r="CI19" s="251">
        <v>80</v>
      </c>
      <c r="CJ19" s="251">
        <v>0</v>
      </c>
      <c r="CK19" s="251">
        <v>80</v>
      </c>
    </row>
    <row r="20" spans="3:89" ht="15.75" customHeight="1">
      <c r="C20" s="296" t="s">
        <v>267</v>
      </c>
      <c r="D20" s="859" t="s">
        <v>334</v>
      </c>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B20" s="660" t="s">
        <v>16</v>
      </c>
      <c r="BC20" s="660" t="s">
        <v>17</v>
      </c>
      <c r="BD20" s="661" t="s">
        <v>18</v>
      </c>
      <c r="BE20" s="660" t="s">
        <v>22</v>
      </c>
      <c r="BF20" s="661">
        <v>2000</v>
      </c>
      <c r="BG20" s="661">
        <v>2001</v>
      </c>
      <c r="BH20" s="661">
        <v>2002</v>
      </c>
      <c r="BI20" s="661">
        <v>2003</v>
      </c>
      <c r="BJ20" s="661">
        <v>2004</v>
      </c>
      <c r="BK20" s="661">
        <v>2005</v>
      </c>
      <c r="BL20" s="661">
        <v>2006</v>
      </c>
      <c r="BM20" s="661">
        <v>2007</v>
      </c>
      <c r="BN20" s="661">
        <v>2008</v>
      </c>
      <c r="BO20" s="661">
        <v>2009</v>
      </c>
      <c r="BP20" s="661">
        <v>2010</v>
      </c>
      <c r="BQ20" s="661">
        <v>2011</v>
      </c>
      <c r="BR20" s="661">
        <v>2012</v>
      </c>
      <c r="BS20" s="661">
        <v>2013</v>
      </c>
      <c r="BT20" s="661">
        <v>2014</v>
      </c>
      <c r="BU20" s="661">
        <v>2015</v>
      </c>
      <c r="BV20" s="661">
        <v>2016</v>
      </c>
      <c r="BW20" s="661">
        <v>2017</v>
      </c>
      <c r="BX20" s="661">
        <v>2018</v>
      </c>
      <c r="BY20" s="661">
        <v>2019</v>
      </c>
      <c r="BZ20" s="661">
        <v>2020</v>
      </c>
      <c r="CA20" s="661">
        <v>2021</v>
      </c>
      <c r="CB20" s="249"/>
      <c r="CF20" s="251">
        <v>112</v>
      </c>
      <c r="CG20" s="252" t="s">
        <v>46</v>
      </c>
      <c r="CH20" s="659">
        <v>128296.79999999999</v>
      </c>
      <c r="CI20" s="251">
        <v>34000</v>
      </c>
      <c r="CJ20" s="251">
        <v>23900</v>
      </c>
      <c r="CK20" s="251">
        <v>57900</v>
      </c>
    </row>
    <row r="21" spans="3:89" ht="15" customHeight="1">
      <c r="C21" s="296" t="s">
        <v>267</v>
      </c>
      <c r="D21" s="859" t="s">
        <v>341</v>
      </c>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B21" s="662">
        <v>3</v>
      </c>
      <c r="BC21" s="668" t="s">
        <v>213</v>
      </c>
      <c r="BD21" s="667" t="s">
        <v>656</v>
      </c>
      <c r="BE21" s="667">
        <f>F10</f>
        <v>0</v>
      </c>
      <c r="BF21" s="667">
        <f>H10</f>
        <v>0</v>
      </c>
      <c r="BG21" s="667">
        <f>J10</f>
        <v>0</v>
      </c>
      <c r="BH21" s="667">
        <f>L10</f>
        <v>0</v>
      </c>
      <c r="BI21" s="667">
        <f>N10</f>
        <v>0</v>
      </c>
      <c r="BJ21" s="667">
        <f>P10</f>
        <v>0</v>
      </c>
      <c r="BK21" s="667">
        <f>R10</f>
        <v>0</v>
      </c>
      <c r="BL21" s="667">
        <f>T10</f>
        <v>0</v>
      </c>
      <c r="BM21" s="667">
        <f>V10</f>
        <v>0</v>
      </c>
      <c r="BN21" s="667">
        <f>X10</f>
        <v>0</v>
      </c>
      <c r="BO21" s="667">
        <f>Z10</f>
        <v>0</v>
      </c>
      <c r="BP21" s="667">
        <f>AB10</f>
        <v>0</v>
      </c>
      <c r="BQ21" s="667">
        <f>AD10</f>
        <v>0</v>
      </c>
      <c r="BR21" s="667">
        <f>AF10</f>
        <v>0</v>
      </c>
      <c r="BS21" s="667">
        <f>AH10</f>
        <v>0</v>
      </c>
      <c r="BT21" s="667">
        <f>AJ10</f>
        <v>0</v>
      </c>
      <c r="BU21" s="667">
        <f>AL10</f>
        <v>0</v>
      </c>
      <c r="BV21" s="667">
        <f>AN10</f>
        <v>0</v>
      </c>
      <c r="BW21" s="667">
        <f>AP10</f>
        <v>0</v>
      </c>
      <c r="BX21" s="667">
        <f>AR10</f>
        <v>0</v>
      </c>
      <c r="BY21" s="667">
        <f>AT10</f>
        <v>0</v>
      </c>
      <c r="BZ21" s="667">
        <f>AV10</f>
        <v>0</v>
      </c>
      <c r="CA21" s="667">
        <f>AX10</f>
        <v>0</v>
      </c>
      <c r="CB21" s="60"/>
      <c r="CF21" s="251">
        <v>84</v>
      </c>
      <c r="CG21" s="252" t="s">
        <v>47</v>
      </c>
      <c r="CH21" s="659">
        <v>39163.85</v>
      </c>
      <c r="CI21" s="251">
        <v>15260</v>
      </c>
      <c r="CJ21" s="251">
        <v>6042</v>
      </c>
      <c r="CK21" s="251">
        <v>21734</v>
      </c>
    </row>
    <row r="22" spans="1:90" ht="25.5" customHeight="1">
      <c r="A22" s="297"/>
      <c r="C22" s="296" t="s">
        <v>267</v>
      </c>
      <c r="D22" s="858" t="s">
        <v>330</v>
      </c>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298"/>
      <c r="BB22" s="682">
        <v>10</v>
      </c>
      <c r="BC22" s="683" t="s">
        <v>219</v>
      </c>
      <c r="BD22" s="667" t="s">
        <v>656</v>
      </c>
      <c r="BE22" s="667">
        <f>(F8-F9)</f>
        <v>0</v>
      </c>
      <c r="BF22" s="667">
        <f>(H8-H9)</f>
        <v>0</v>
      </c>
      <c r="BG22" s="667">
        <f>(J8-J9)</f>
        <v>0</v>
      </c>
      <c r="BH22" s="667">
        <f>(L8-L9)</f>
        <v>0</v>
      </c>
      <c r="BI22" s="667">
        <f>(N8-N9)</f>
        <v>0</v>
      </c>
      <c r="BJ22" s="667">
        <f>(P8-P9)</f>
        <v>0</v>
      </c>
      <c r="BK22" s="667">
        <f>(R8-R9)</f>
        <v>0</v>
      </c>
      <c r="BL22" s="667">
        <f>(T8-T9)</f>
        <v>0</v>
      </c>
      <c r="BM22" s="667">
        <f>(V8-V9)</f>
        <v>0</v>
      </c>
      <c r="BN22" s="667">
        <f>(X8-X9)</f>
        <v>0</v>
      </c>
      <c r="BO22" s="667">
        <f>(Z8-Z9)</f>
        <v>0</v>
      </c>
      <c r="BP22" s="667">
        <f>(AB8-AB9)</f>
        <v>0</v>
      </c>
      <c r="BQ22" s="667">
        <f>(AD8-AD9)</f>
        <v>0</v>
      </c>
      <c r="BR22" s="667">
        <f>(AF8-AF9)</f>
        <v>0</v>
      </c>
      <c r="BS22" s="667">
        <f>(AH8-AH9)</f>
        <v>0</v>
      </c>
      <c r="BT22" s="667">
        <f>(AJ8-AJ9)</f>
        <v>0</v>
      </c>
      <c r="BU22" s="667">
        <f>(AL8-AL9)</f>
        <v>0</v>
      </c>
      <c r="BV22" s="667">
        <f>(AN8-AN9)</f>
        <v>0</v>
      </c>
      <c r="BW22" s="667">
        <f>(AP8-AP9)</f>
        <v>0</v>
      </c>
      <c r="BX22" s="667">
        <f>(AR8-AR9)</f>
        <v>0</v>
      </c>
      <c r="BY22" s="667">
        <f>(AT8-AT9)</f>
        <v>0</v>
      </c>
      <c r="BZ22" s="667">
        <f>(AV8-AV9)</f>
        <v>0</v>
      </c>
      <c r="CA22" s="667">
        <f>(AX8-AX9)</f>
        <v>0</v>
      </c>
      <c r="CB22" s="60"/>
      <c r="CC22" s="577"/>
      <c r="CF22" s="251">
        <v>204</v>
      </c>
      <c r="CG22" s="252" t="s">
        <v>48</v>
      </c>
      <c r="CH22" s="659">
        <v>119235.64</v>
      </c>
      <c r="CI22" s="251">
        <v>10300</v>
      </c>
      <c r="CJ22" s="251">
        <v>0</v>
      </c>
      <c r="CK22" s="251">
        <v>26390</v>
      </c>
      <c r="CL22" s="299"/>
    </row>
    <row r="23" spans="1:90" ht="25.5" customHeight="1">
      <c r="A23" s="297"/>
      <c r="B23" s="297"/>
      <c r="C23" s="296" t="s">
        <v>267</v>
      </c>
      <c r="D23" s="859" t="s">
        <v>332</v>
      </c>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300"/>
      <c r="BB23" s="684" t="s">
        <v>295</v>
      </c>
      <c r="BC23" s="683" t="s">
        <v>513</v>
      </c>
      <c r="BD23" s="667"/>
      <c r="BE23" s="667" t="str">
        <f>IF(OR(ISBLANK(F8),ISBLANK(F9),ISBLANK(F10)),"N/A",IF((BE21=BE22),"ok","&lt;&gt;"))</f>
        <v>N/A</v>
      </c>
      <c r="BF23" s="667" t="str">
        <f>IF(OR(ISBLANK(H8),ISBLANK(H9),ISBLANK(H10)),"N/A",IF((BF21=BF22),"ok","&lt;&gt;"))</f>
        <v>N/A</v>
      </c>
      <c r="BG23" s="667" t="str">
        <f>IF(OR(ISBLANK(P8),ISBLANK(P9),ISBLANK(P10)),"N/A",IF((BG21=BG22),"ok","&lt;&gt;"))</f>
        <v>N/A</v>
      </c>
      <c r="BH23" s="667" t="str">
        <f>IF(OR(ISBLANK(L8),ISBLANK(L9),ISBLANK(L10)),"N/A",IF((BH21=BH22),"ok","&lt;&gt;"))</f>
        <v>N/A</v>
      </c>
      <c r="BI23" s="667" t="str">
        <f>IF(OR(ISBLANK(N8),ISBLANK(N9),ISBLANK(N10)),"N/A",IF((BI21=BI22),"ok","&lt;&gt;"))</f>
        <v>N/A</v>
      </c>
      <c r="BJ23" s="667" t="str">
        <f>IF(OR(ISBLANK(P8),ISBLANK(P9),ISBLANK(P10)),"N/A",IF((BJ21=BJ22),"ok","&lt;&gt;"))</f>
        <v>N/A</v>
      </c>
      <c r="BK23" s="667" t="str">
        <f>IF(OR(ISBLANK(R8),ISBLANK(R9),ISBLANK(R10)),"N/A",IF((BK21=BK22),"ok","&lt;&gt;"))</f>
        <v>N/A</v>
      </c>
      <c r="BL23" s="667" t="str">
        <f>IF(OR(ISBLANK(T8),ISBLANK(T9),ISBLANK(T10)),"N/A",IF((BL21=BL22),"ok","&lt;&gt;"))</f>
        <v>N/A</v>
      </c>
      <c r="BM23" s="667" t="str">
        <f>IF(OR(ISBLANK(V8),ISBLANK(V9),ISBLANK(V10)),"N/A",IF((BM21=BM22),"ok","&lt;&gt;"))</f>
        <v>N/A</v>
      </c>
      <c r="BN23" s="667" t="str">
        <f>IF(OR(ISBLANK(X8),ISBLANK(X9),ISBLANK(X10)),"N/A",IF((BN21=BN22),"ok","&lt;&gt;"))</f>
        <v>N/A</v>
      </c>
      <c r="BO23" s="667" t="str">
        <f>IF(OR(ISBLANK(Z8),ISBLANK(Z9),ISBLANK(Z10)),"N/A",IF((BO21=BO22),"ok","&lt;&gt;"))</f>
        <v>N/A</v>
      </c>
      <c r="BP23" s="667" t="str">
        <f>IF(OR(ISBLANK(AB8),ISBLANK(AB9),ISBLANK(AB10)),"N/A",IF((BP21=BP22),"ok","&lt;&gt;"))</f>
        <v>N/A</v>
      </c>
      <c r="BQ23" s="667" t="str">
        <f>IF(OR(ISBLANK(AD8),ISBLANK(AD9),ISBLANK(AD10)),"N/A",IF((BQ21=BQ22),"ok","&lt;&gt;"))</f>
        <v>N/A</v>
      </c>
      <c r="BR23" s="667" t="str">
        <f>IF(OR(ISBLANK(AF8),ISBLANK(AF9),ISBLANK(AF10)),"N/A",IF((BR21=BR22),"ok","&lt;&gt;"))</f>
        <v>N/A</v>
      </c>
      <c r="BS23" s="667" t="str">
        <f>IF(OR(ISBLANK(AH8),ISBLANK(AH9),ISBLANK(AH10)),"N/A",IF((BS21=BS22),"ok","&lt;&gt;"))</f>
        <v>N/A</v>
      </c>
      <c r="BT23" s="667" t="str">
        <f>IF(OR(ISBLANK(AJ8),ISBLANK(AJ9),ISBLANK(AJ10)),"N/A",IF((BT21=BT22),"ok","&lt;&gt;"))</f>
        <v>N/A</v>
      </c>
      <c r="BU23" s="667" t="str">
        <f>IF(OR(ISBLANK(AL8),ISBLANK(AL9),ISBLANK(AL10)),"N/A",IF((BU21=BU22),"ok","&lt;&gt;"))</f>
        <v>N/A</v>
      </c>
      <c r="BV23" s="667" t="str">
        <f>IF(OR(ISBLANK(AN8),ISBLANK(AN9),ISBLANK(AN10)),"N/A",IF((BV21=BV22),"ok","&lt;&gt;"))</f>
        <v>N/A</v>
      </c>
      <c r="BW23" s="667" t="str">
        <f>IF(OR(ISBLANK(AP8),ISBLANK(AP9),ISBLANK(AP10)),"N/A",IF((BW21=BW22),"ok","&lt;&gt;"))</f>
        <v>N/A</v>
      </c>
      <c r="BX23" s="667" t="str">
        <f>IF(OR(ISBLANK(AR8),ISBLANK(AR9),ISBLANK(AR10)),"N/A",IF((BX21=BX22),"ok","&lt;&gt;"))</f>
        <v>N/A</v>
      </c>
      <c r="BY23" s="667" t="str">
        <f>IF(OR(ISBLANK(AT8),ISBLANK(AT9),ISBLANK(AT10)),"N/A",IF((BY21=BY22),"ok","&lt;&gt;"))</f>
        <v>N/A</v>
      </c>
      <c r="BZ23" s="667" t="str">
        <f>IF(OR(ISBLANK(AV8),ISBLANK(AV9),ISBLANK(AV10)),"N/A",IF((BZ21=BZ22),"ok","&lt;&gt;"))</f>
        <v>N/A</v>
      </c>
      <c r="CA23" s="667" t="str">
        <f>IF(OR(ISBLANK(AX8),ISBLANK(AX9),ISBLANK(AX10)),"N/A",IF((CA21=CA22),"ok","&lt;&gt;"))</f>
        <v>N/A</v>
      </c>
      <c r="CB23" s="60"/>
      <c r="CC23" s="577"/>
      <c r="CF23" s="251">
        <v>60</v>
      </c>
      <c r="CG23" s="252" t="s">
        <v>49</v>
      </c>
      <c r="CH23" s="659">
        <v>0</v>
      </c>
      <c r="CI23" s="251">
        <v>0</v>
      </c>
      <c r="CJ23" s="251">
        <v>0</v>
      </c>
      <c r="CK23" s="251">
        <v>0</v>
      </c>
      <c r="CL23" s="299"/>
    </row>
    <row r="24" spans="1:90" ht="22.5" customHeight="1">
      <c r="A24" s="297"/>
      <c r="B24" s="297"/>
      <c r="C24" s="29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298"/>
      <c r="BB24" s="662">
        <v>5</v>
      </c>
      <c r="BC24" s="671" t="s">
        <v>212</v>
      </c>
      <c r="BD24" s="667" t="s">
        <v>656</v>
      </c>
      <c r="BE24" s="667">
        <f>F12</f>
        <v>0</v>
      </c>
      <c r="BF24" s="667">
        <f>H12</f>
        <v>0</v>
      </c>
      <c r="BG24" s="667">
        <f>P12</f>
        <v>0</v>
      </c>
      <c r="BH24" s="667">
        <f>L12</f>
        <v>0</v>
      </c>
      <c r="BI24" s="667">
        <f>N12</f>
        <v>0</v>
      </c>
      <c r="BJ24" s="667">
        <f>P12</f>
        <v>0</v>
      </c>
      <c r="BK24" s="667">
        <f>R12</f>
        <v>0</v>
      </c>
      <c r="BL24" s="667">
        <f>T12</f>
        <v>0</v>
      </c>
      <c r="BM24" s="667">
        <f>V12</f>
        <v>0</v>
      </c>
      <c r="BN24" s="667">
        <f>X12</f>
        <v>0</v>
      </c>
      <c r="BO24" s="667">
        <f>Z12</f>
        <v>0</v>
      </c>
      <c r="BP24" s="667">
        <f>AB12</f>
        <v>0</v>
      </c>
      <c r="BQ24" s="667">
        <f>AD12</f>
        <v>0</v>
      </c>
      <c r="BR24" s="667">
        <f>AF12</f>
        <v>0</v>
      </c>
      <c r="BS24" s="667">
        <f>AH12</f>
        <v>0</v>
      </c>
      <c r="BT24" s="667">
        <f>AJ12</f>
        <v>0</v>
      </c>
      <c r="BU24" s="667">
        <f>AL12</f>
        <v>0</v>
      </c>
      <c r="BV24" s="667">
        <f>AN12</f>
        <v>0</v>
      </c>
      <c r="BW24" s="667">
        <f>AP12</f>
        <v>0</v>
      </c>
      <c r="BX24" s="667">
        <f>AR12</f>
        <v>0</v>
      </c>
      <c r="BY24" s="667">
        <f>AT12</f>
        <v>0</v>
      </c>
      <c r="BZ24" s="667">
        <f>AV12</f>
        <v>0</v>
      </c>
      <c r="CA24" s="667">
        <f>AX12</f>
        <v>0</v>
      </c>
      <c r="CB24" s="60"/>
      <c r="CC24" s="577"/>
      <c r="CF24" s="251">
        <v>64</v>
      </c>
      <c r="CG24" s="252" t="s">
        <v>50</v>
      </c>
      <c r="CH24" s="659">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2">
        <v>11</v>
      </c>
      <c r="BC25" s="683" t="s">
        <v>220</v>
      </c>
      <c r="BD25" s="667" t="s">
        <v>656</v>
      </c>
      <c r="BE25" s="667">
        <f>F10+F11</f>
        <v>0</v>
      </c>
      <c r="BF25" s="667">
        <f>H10+H11</f>
        <v>0</v>
      </c>
      <c r="BG25" s="667">
        <f>P10+P11</f>
        <v>0</v>
      </c>
      <c r="BH25" s="667">
        <f>L10+L11</f>
        <v>0</v>
      </c>
      <c r="BI25" s="667">
        <f>N10+N11</f>
        <v>0</v>
      </c>
      <c r="BJ25" s="667">
        <f>P10+P11</f>
        <v>0</v>
      </c>
      <c r="BK25" s="667">
        <f>R10+R11</f>
        <v>0</v>
      </c>
      <c r="BL25" s="667">
        <f>T10+T11</f>
        <v>0</v>
      </c>
      <c r="BM25" s="667">
        <f>V10+V11</f>
        <v>0</v>
      </c>
      <c r="BN25" s="667">
        <f>X10+X11</f>
        <v>0</v>
      </c>
      <c r="BO25" s="667">
        <f>Z10+Z11</f>
        <v>0</v>
      </c>
      <c r="BP25" s="667">
        <f>AB10+AB11</f>
        <v>0</v>
      </c>
      <c r="BQ25" s="667">
        <f>AD10+AD11</f>
        <v>0</v>
      </c>
      <c r="BR25" s="667">
        <f>AF10+AF11</f>
        <v>0</v>
      </c>
      <c r="BS25" s="667">
        <f>AH10+AH11</f>
        <v>0</v>
      </c>
      <c r="BT25" s="667">
        <f>AJ10+AJ11</f>
        <v>0</v>
      </c>
      <c r="BU25" s="667">
        <f>AL10+AL11</f>
        <v>0</v>
      </c>
      <c r="BV25" s="667">
        <f>AN10+AN11</f>
        <v>0</v>
      </c>
      <c r="BW25" s="667">
        <f>AP10+AP11</f>
        <v>0</v>
      </c>
      <c r="BX25" s="667">
        <f>AR10+AR11</f>
        <v>0</v>
      </c>
      <c r="BY25" s="667">
        <f>AT10+AT11</f>
        <v>0</v>
      </c>
      <c r="BZ25" s="667">
        <f>AV10+AV11</f>
        <v>0</v>
      </c>
      <c r="CA25" s="667">
        <f>AX10+AX11</f>
        <v>0</v>
      </c>
      <c r="CB25" s="60"/>
      <c r="CC25" s="577"/>
      <c r="CF25" s="251">
        <v>68</v>
      </c>
      <c r="CG25" s="252" t="s">
        <v>270</v>
      </c>
      <c r="CH25" s="659">
        <v>1258972.6800000002</v>
      </c>
      <c r="CI25" s="251">
        <v>303500</v>
      </c>
      <c r="CJ25" s="251">
        <v>259000</v>
      </c>
      <c r="CK25" s="251">
        <v>574000</v>
      </c>
      <c r="CL25" s="299"/>
    </row>
    <row r="26" spans="1:90" ht="18.75" customHeight="1">
      <c r="A26" s="297"/>
      <c r="B26" s="297"/>
      <c r="F26" s="849" t="str">
        <f>D8&amp;" (W1, 1)"</f>
        <v>الهطول (W1, 1)</v>
      </c>
      <c r="G26" s="867"/>
      <c r="H26" s="867"/>
      <c r="I26" s="868"/>
      <c r="J26" s="305"/>
      <c r="K26" s="305"/>
      <c r="L26" s="305"/>
      <c r="M26" s="849" t="str">
        <f>D9&amp;"(W1, 2)"</f>
        <v>البخر الفعلي(W1, 2)</v>
      </c>
      <c r="N26" s="869"/>
      <c r="O26" s="869"/>
      <c r="P26" s="869"/>
      <c r="Q26" s="870"/>
      <c r="R26" s="303"/>
      <c r="S26" s="305"/>
      <c r="T26" s="305"/>
      <c r="U26" s="305"/>
      <c r="V26" s="305"/>
      <c r="W26" s="305"/>
      <c r="X26" s="305"/>
      <c r="Y26" s="305"/>
      <c r="Z26" s="305"/>
      <c r="AA26" s="304"/>
      <c r="AB26" s="303"/>
      <c r="AC26" s="303"/>
      <c r="AD26" s="303"/>
      <c r="AE26" s="303"/>
      <c r="AF26" s="306"/>
      <c r="AG26" s="306"/>
      <c r="AH26" s="306"/>
      <c r="AI26" s="306"/>
      <c r="AJ26" s="303"/>
      <c r="AK26" s="598"/>
      <c r="AL26" s="598"/>
      <c r="AM26" s="598"/>
      <c r="AN26" s="598"/>
      <c r="AO26" s="306"/>
      <c r="AP26" s="306"/>
      <c r="AQ26" s="306"/>
      <c r="AR26" s="306"/>
      <c r="AS26" s="306"/>
      <c r="AT26" s="306"/>
      <c r="AU26" s="306"/>
      <c r="AV26" s="306"/>
      <c r="AW26" s="306"/>
      <c r="AX26" s="306"/>
      <c r="AY26" s="306"/>
      <c r="AZ26" s="302"/>
      <c r="BA26" s="298"/>
      <c r="BB26" s="684" t="s">
        <v>295</v>
      </c>
      <c r="BC26" s="683" t="s">
        <v>514</v>
      </c>
      <c r="BD26" s="667"/>
      <c r="BE26" s="667" t="str">
        <f>IF(OR(ISBLANK(F10),ISBLANK(F11)),"N/A",IF((BE24=BE25),"ok","&lt;&gt;"))</f>
        <v>N/A</v>
      </c>
      <c r="BF26" s="667" t="str">
        <f>IF(OR(ISBLANK(H10),ISBLANK(H11)),"N/A",IF((BF24=BF25),"ok","&lt;&gt;"))</f>
        <v>N/A</v>
      </c>
      <c r="BG26" s="667" t="str">
        <f>IF(OR(ISBLANK(P10),ISBLANK(P11)),"N/A",IF((BG24=BG25),"ok","&lt;&gt;"))</f>
        <v>N/A</v>
      </c>
      <c r="BH26" s="667" t="str">
        <f>IF(OR(ISBLANK(L10),ISBLANK(L11)),"N/A",IF((BH24=BH25),"ok","&lt;&gt;"))</f>
        <v>N/A</v>
      </c>
      <c r="BI26" s="667" t="str">
        <f>IF(OR(ISBLANK(N10),ISBLANK(N11)),"N/A",IF((BI24=BI25),"ok","&lt;&gt;"))</f>
        <v>N/A</v>
      </c>
      <c r="BJ26" s="667" t="str">
        <f>IF(OR(ISBLANK(P10),ISBLANK(P11)),"N/A",IF((BJ24=BJ25),"ok","&lt;&gt;"))</f>
        <v>N/A</v>
      </c>
      <c r="BK26" s="667" t="str">
        <f>IF(OR(ISBLANK(R10),ISBLANK(R11)),"N/A",IF((BK24=BK25),"ok","&lt;&gt;"))</f>
        <v>N/A</v>
      </c>
      <c r="BL26" s="667" t="str">
        <f>IF(OR(ISBLANK(T10),ISBLANK(T11)),"N/A",IF((BL24=BL25),"ok","&lt;&gt;"))</f>
        <v>N/A</v>
      </c>
      <c r="BM26" s="667" t="str">
        <f>IF(OR(ISBLANK(V10),ISBLANK(V11)),"N/A",IF((BM24=BM25),"ok","&lt;&gt;"))</f>
        <v>N/A</v>
      </c>
      <c r="BN26" s="667" t="str">
        <f>IF(OR(ISBLANK(X10),ISBLANK(X11)),"N/A",IF((BN24=BN25),"ok","&lt;&gt;"))</f>
        <v>N/A</v>
      </c>
      <c r="BO26" s="667" t="str">
        <f>IF(OR(ISBLANK(Z10),ISBLANK(Z11)),"N/A",IF((BO24=BO25),"ok","&lt;&gt;"))</f>
        <v>N/A</v>
      </c>
      <c r="BP26" s="667" t="str">
        <f>IF(OR(ISBLANK(AB10),ISBLANK(AB11)),"N/A",IF((BP24=BP25),"ok","&lt;&gt;"))</f>
        <v>N/A</v>
      </c>
      <c r="BQ26" s="667" t="str">
        <f>IF(OR(ISBLANK(AD10),ISBLANK(AD11)),"N/A",IF((BQ24=BQ25),"ok","&lt;&gt;"))</f>
        <v>N/A</v>
      </c>
      <c r="BR26" s="667" t="str">
        <f>IF(OR(ISBLANK(AF10),ISBLANK(AF11)),"N/A",IF((BR24=BR25),"ok","&lt;&gt;"))</f>
        <v>N/A</v>
      </c>
      <c r="BS26" s="667" t="str">
        <f>IF(OR(ISBLANK(AH10),ISBLANK(AH11)),"N/A",IF((BS24=BS25),"ok","&lt;&gt;"))</f>
        <v>N/A</v>
      </c>
      <c r="BT26" s="667" t="str">
        <f>IF(OR(ISBLANK(AJ10),ISBLANK(AJ11)),"N/A",IF((BT24=BT25),"ok","&lt;&gt;"))</f>
        <v>N/A</v>
      </c>
      <c r="BU26" s="667" t="str">
        <f>IF(OR(ISBLANK(AL10),ISBLANK(AL11)),"N/A",IF((BU24=BU25),"ok","&lt;&gt;"))</f>
        <v>N/A</v>
      </c>
      <c r="BV26" s="667" t="str">
        <f>IF(OR(ISBLANK(AN10),ISBLANK(AN11)),"N/A",IF((BV24=BV25),"ok","&lt;&gt;"))</f>
        <v>N/A</v>
      </c>
      <c r="BW26" s="667" t="str">
        <f>IF(OR(ISBLANK(AP10),ISBLANK(AP11)),"N/A",IF((BW24=BW25),"ok","&lt;&gt;"))</f>
        <v>N/A</v>
      </c>
      <c r="BX26" s="667" t="str">
        <f>IF(OR(ISBLANK(AR10),ISBLANK(AR11)),"N/A",IF((BX24=BX25),"ok","&lt;&gt;"))</f>
        <v>N/A</v>
      </c>
      <c r="BY26" s="667" t="str">
        <f>IF(OR(ISBLANK(AT10),ISBLANK(AT11)),"N/A",IF((BY24=BY25),"ok","&lt;&gt;"))</f>
        <v>N/A</v>
      </c>
      <c r="BZ26" s="667" t="str">
        <f>IF(OR(ISBLANK(AV10),ISBLANK(AV11)),"N/A",IF((BZ24=BZ25),"ok","&lt;&gt;"))</f>
        <v>N/A</v>
      </c>
      <c r="CA26" s="667" t="str">
        <f>IF(OR(ISBLANK(AX10),ISBLANK(AX11)),"N/A",IF((CA24=CA25),"ok","&lt;&gt;"))</f>
        <v>N/A</v>
      </c>
      <c r="CB26" s="60"/>
      <c r="CC26" s="577"/>
      <c r="CF26" s="251">
        <v>70</v>
      </c>
      <c r="CG26" s="252" t="s">
        <v>51</v>
      </c>
      <c r="CH26" s="659">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2">
        <v>1</v>
      </c>
      <c r="BC27" s="685" t="s">
        <v>704</v>
      </c>
      <c r="BD27" s="662" t="s">
        <v>656</v>
      </c>
      <c r="BE27" s="667">
        <f>F8</f>
        <v>0</v>
      </c>
      <c r="BF27" s="669" t="s">
        <v>249</v>
      </c>
      <c r="BG27" s="667" t="s">
        <v>249</v>
      </c>
      <c r="BH27" s="667" t="s">
        <v>249</v>
      </c>
      <c r="BI27" s="667" t="s">
        <v>249</v>
      </c>
      <c r="BJ27" s="667" t="s">
        <v>249</v>
      </c>
      <c r="BK27" s="667" t="s">
        <v>249</v>
      </c>
      <c r="BL27" s="667" t="s">
        <v>249</v>
      </c>
      <c r="BM27" s="667" t="s">
        <v>249</v>
      </c>
      <c r="BN27" s="667" t="s">
        <v>249</v>
      </c>
      <c r="BO27" s="667" t="s">
        <v>249</v>
      </c>
      <c r="BP27" s="667" t="s">
        <v>249</v>
      </c>
      <c r="BQ27" s="667" t="s">
        <v>249</v>
      </c>
      <c r="BR27" s="667" t="s">
        <v>249</v>
      </c>
      <c r="BS27" s="667" t="s">
        <v>249</v>
      </c>
      <c r="BT27" s="667" t="s">
        <v>249</v>
      </c>
      <c r="BU27" s="667" t="s">
        <v>249</v>
      </c>
      <c r="BV27" s="667" t="s">
        <v>249</v>
      </c>
      <c r="BW27" s="667" t="s">
        <v>249</v>
      </c>
      <c r="BX27" s="667" t="s">
        <v>249</v>
      </c>
      <c r="BY27" s="667" t="s">
        <v>249</v>
      </c>
      <c r="BZ27" s="667" t="s">
        <v>249</v>
      </c>
      <c r="CA27" s="667" t="s">
        <v>249</v>
      </c>
      <c r="CB27" s="61"/>
      <c r="CC27" s="577"/>
      <c r="CF27" s="251">
        <v>72</v>
      </c>
      <c r="CG27" s="252" t="s">
        <v>52</v>
      </c>
      <c r="CH27" s="659">
        <v>241999.68000000002</v>
      </c>
      <c r="CI27" s="251">
        <v>2400</v>
      </c>
      <c r="CJ27" s="251">
        <v>9040</v>
      </c>
      <c r="CK27" s="251">
        <v>12240</v>
      </c>
      <c r="CL27" s="299"/>
    </row>
    <row r="28" spans="1:90" ht="14.25" customHeight="1">
      <c r="A28" s="297"/>
      <c r="B28" s="297"/>
      <c r="C28" s="301"/>
      <c r="D28" s="302"/>
      <c r="F28" s="307"/>
      <c r="G28" s="303"/>
      <c r="H28" s="849" t="str">
        <f>LEFT(D10,LEN(D10)-7)&amp;" (W1, 3)"</f>
        <v>التدفق الداخلي (W1, 3)</v>
      </c>
      <c r="I28" s="871"/>
      <c r="J28" s="871"/>
      <c r="K28" s="871"/>
      <c r="L28" s="871"/>
      <c r="M28" s="871"/>
      <c r="N28" s="871"/>
      <c r="O28" s="872"/>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7"/>
      <c r="AV28" s="597"/>
      <c r="AW28" s="597"/>
      <c r="AX28" s="512"/>
      <c r="AY28" s="597"/>
      <c r="AZ28" s="302"/>
      <c r="BA28" s="298"/>
      <c r="BB28" s="682">
        <v>12</v>
      </c>
      <c r="BC28" s="683" t="s">
        <v>225</v>
      </c>
      <c r="BD28" s="667" t="s">
        <v>656</v>
      </c>
      <c r="BE28" s="667" t="e">
        <f>VLOOKUP(B3,$CF$6:$CK$212,3,FALSE)</f>
        <v>#N/A</v>
      </c>
      <c r="BF28" s="667" t="s">
        <v>249</v>
      </c>
      <c r="BG28" s="667" t="s">
        <v>249</v>
      </c>
      <c r="BH28" s="667" t="s">
        <v>249</v>
      </c>
      <c r="BI28" s="667" t="s">
        <v>249</v>
      </c>
      <c r="BJ28" s="667" t="s">
        <v>249</v>
      </c>
      <c r="BK28" s="667" t="s">
        <v>249</v>
      </c>
      <c r="BL28" s="667" t="s">
        <v>249</v>
      </c>
      <c r="BM28" s="667" t="s">
        <v>249</v>
      </c>
      <c r="BN28" s="667" t="s">
        <v>249</v>
      </c>
      <c r="BO28" s="667" t="s">
        <v>249</v>
      </c>
      <c r="BP28" s="667" t="s">
        <v>249</v>
      </c>
      <c r="BQ28" s="667" t="s">
        <v>249</v>
      </c>
      <c r="BR28" s="667" t="s">
        <v>249</v>
      </c>
      <c r="BS28" s="667" t="s">
        <v>249</v>
      </c>
      <c r="BT28" s="667" t="s">
        <v>249</v>
      </c>
      <c r="BU28" s="667" t="s">
        <v>249</v>
      </c>
      <c r="BV28" s="667" t="s">
        <v>249</v>
      </c>
      <c r="BW28" s="667" t="s">
        <v>249</v>
      </c>
      <c r="BX28" s="667" t="s">
        <v>249</v>
      </c>
      <c r="BY28" s="667" t="s">
        <v>249</v>
      </c>
      <c r="BZ28" s="667" t="s">
        <v>249</v>
      </c>
      <c r="CA28" s="667" t="s">
        <v>249</v>
      </c>
      <c r="CB28" s="61"/>
      <c r="CC28" s="577"/>
      <c r="CF28" s="251">
        <v>76</v>
      </c>
      <c r="CG28" s="252" t="s">
        <v>53</v>
      </c>
      <c r="CH28" s="659">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49" t="str">
        <f>D13&amp;" (W1, 6)"</f>
        <v>التدفقات الخارجة للمياه السطحية والمياه الجوفية إلى البلدان المجاورة (W1, 6)</v>
      </c>
      <c r="W29" s="867"/>
      <c r="X29" s="867"/>
      <c r="Y29" s="867"/>
      <c r="Z29" s="867"/>
      <c r="AA29" s="868"/>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4" t="s">
        <v>295</v>
      </c>
      <c r="BC29" s="686" t="s">
        <v>515</v>
      </c>
      <c r="BD29" s="667" t="s">
        <v>656</v>
      </c>
      <c r="BE29" s="667" t="e">
        <f>ABS(BE27-BE28)</f>
        <v>#N/A</v>
      </c>
      <c r="BF29" s="669" t="s">
        <v>249</v>
      </c>
      <c r="BG29" s="667" t="s">
        <v>249</v>
      </c>
      <c r="BH29" s="667" t="s">
        <v>249</v>
      </c>
      <c r="BI29" s="667" t="s">
        <v>249</v>
      </c>
      <c r="BJ29" s="667" t="s">
        <v>249</v>
      </c>
      <c r="BK29" s="667" t="s">
        <v>249</v>
      </c>
      <c r="BL29" s="667" t="s">
        <v>249</v>
      </c>
      <c r="BM29" s="667" t="s">
        <v>249</v>
      </c>
      <c r="BN29" s="667" t="s">
        <v>249</v>
      </c>
      <c r="BO29" s="667" t="s">
        <v>249</v>
      </c>
      <c r="BP29" s="667" t="s">
        <v>249</v>
      </c>
      <c r="BQ29" s="667" t="s">
        <v>249</v>
      </c>
      <c r="BR29" s="667" t="s">
        <v>249</v>
      </c>
      <c r="BS29" s="667" t="s">
        <v>249</v>
      </c>
      <c r="BT29" s="667" t="s">
        <v>249</v>
      </c>
      <c r="BU29" s="667" t="s">
        <v>249</v>
      </c>
      <c r="BV29" s="667" t="s">
        <v>249</v>
      </c>
      <c r="BW29" s="667" t="s">
        <v>249</v>
      </c>
      <c r="BX29" s="667" t="s">
        <v>249</v>
      </c>
      <c r="BY29" s="667" t="s">
        <v>249</v>
      </c>
      <c r="BZ29" s="667" t="s">
        <v>249</v>
      </c>
      <c r="CA29" s="667" t="s">
        <v>249</v>
      </c>
      <c r="CB29" s="61"/>
      <c r="CC29" s="577"/>
      <c r="CF29" s="251">
        <v>96</v>
      </c>
      <c r="CG29" s="252" t="s">
        <v>54</v>
      </c>
      <c r="CH29" s="659">
        <v>15705.94</v>
      </c>
      <c r="CI29" s="251">
        <v>8500</v>
      </c>
      <c r="CJ29" s="251">
        <v>0</v>
      </c>
      <c r="CK29" s="251">
        <v>8500</v>
      </c>
      <c r="CL29" s="299"/>
    </row>
    <row r="30" spans="1:90" ht="44.25" customHeight="1">
      <c r="A30" s="297"/>
      <c r="B30" s="297"/>
      <c r="C30" s="301"/>
      <c r="D30" s="302"/>
      <c r="E30" s="302"/>
      <c r="F30" s="849" t="str">
        <f>D11&amp;" (W1, 4)"</f>
        <v>التدفق الداخل للمياه السطحية والمياه الجوفية من البلدان المجاورة (W1, 4)</v>
      </c>
      <c r="G30" s="850"/>
      <c r="H30" s="850"/>
      <c r="I30" s="851"/>
      <c r="J30" s="305"/>
      <c r="K30" s="305"/>
      <c r="L30" s="305"/>
      <c r="M30" s="849" t="str">
        <f>LEFT(D12,LEN(D12)-7)&amp;" (W1, 5)"</f>
        <v>موارد المياه العذبة المتجددة (W1, 5)</v>
      </c>
      <c r="N30" s="852"/>
      <c r="O30" s="852"/>
      <c r="P30" s="853"/>
      <c r="Q30" s="305"/>
      <c r="R30" s="305"/>
      <c r="S30" s="305"/>
      <c r="T30" s="305"/>
      <c r="U30" s="305"/>
      <c r="V30" s="305"/>
      <c r="W30" s="305"/>
      <c r="X30" s="305"/>
      <c r="Y30" s="305"/>
      <c r="Z30" s="305"/>
      <c r="AA30" s="305"/>
      <c r="AB30" s="303"/>
      <c r="AC30" s="599"/>
      <c r="AD30" s="599"/>
      <c r="AE30" s="599"/>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7">
        <v>3</v>
      </c>
      <c r="BC30" s="668" t="s">
        <v>213</v>
      </c>
      <c r="BD30" s="667" t="s">
        <v>656</v>
      </c>
      <c r="BE30" s="667">
        <f>F10</f>
        <v>0</v>
      </c>
      <c r="BF30" s="669" t="s">
        <v>249</v>
      </c>
      <c r="BG30" s="667" t="s">
        <v>249</v>
      </c>
      <c r="BH30" s="667" t="s">
        <v>249</v>
      </c>
      <c r="BI30" s="667" t="s">
        <v>249</v>
      </c>
      <c r="BJ30" s="667" t="s">
        <v>249</v>
      </c>
      <c r="BK30" s="667" t="s">
        <v>249</v>
      </c>
      <c r="BL30" s="667" t="s">
        <v>249</v>
      </c>
      <c r="BM30" s="667" t="s">
        <v>249</v>
      </c>
      <c r="BN30" s="667" t="s">
        <v>249</v>
      </c>
      <c r="BO30" s="667" t="s">
        <v>249</v>
      </c>
      <c r="BP30" s="667" t="s">
        <v>249</v>
      </c>
      <c r="BQ30" s="667" t="s">
        <v>249</v>
      </c>
      <c r="BR30" s="667" t="s">
        <v>249</v>
      </c>
      <c r="BS30" s="667" t="s">
        <v>249</v>
      </c>
      <c r="BT30" s="667" t="s">
        <v>249</v>
      </c>
      <c r="BU30" s="667" t="s">
        <v>249</v>
      </c>
      <c r="BV30" s="667" t="s">
        <v>249</v>
      </c>
      <c r="BW30" s="667" t="s">
        <v>249</v>
      </c>
      <c r="BX30" s="667" t="s">
        <v>249</v>
      </c>
      <c r="BY30" s="667" t="s">
        <v>249</v>
      </c>
      <c r="BZ30" s="667" t="s">
        <v>249</v>
      </c>
      <c r="CA30" s="667" t="s">
        <v>249</v>
      </c>
      <c r="CB30" s="61"/>
      <c r="CC30" s="577"/>
      <c r="CF30" s="251">
        <v>100</v>
      </c>
      <c r="CG30" s="252" t="s">
        <v>55</v>
      </c>
      <c r="CH30" s="659">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49" t="str">
        <f>D16&amp;" (W1, 9)"</f>
        <v>التدفق الخارج للمياه السطحية والمياه الجوفية إلى البحار (W1, 9)</v>
      </c>
      <c r="W31" s="867"/>
      <c r="X31" s="867"/>
      <c r="Y31" s="867"/>
      <c r="Z31" s="867"/>
      <c r="AA31" s="868"/>
      <c r="AB31" s="303"/>
      <c r="AC31" s="599"/>
      <c r="AD31" s="599"/>
      <c r="AE31" s="599"/>
      <c r="AF31" s="597"/>
      <c r="AG31" s="307"/>
      <c r="AH31" s="303"/>
      <c r="AI31" s="303"/>
      <c r="AJ31" s="303"/>
      <c r="AK31" s="303"/>
      <c r="AL31" s="308"/>
      <c r="AM31" s="308"/>
      <c r="AN31" s="308"/>
      <c r="AO31" s="600"/>
      <c r="AP31" s="600"/>
      <c r="AQ31" s="510"/>
      <c r="AR31" s="510"/>
      <c r="AS31" s="510"/>
      <c r="AT31" s="303"/>
      <c r="AU31" s="303"/>
      <c r="AV31" s="303"/>
      <c r="AW31" s="303"/>
      <c r="AX31" s="303"/>
      <c r="AY31" s="303"/>
      <c r="AZ31" s="310"/>
      <c r="BA31" s="298"/>
      <c r="BB31" s="687">
        <v>13</v>
      </c>
      <c r="BC31" s="683" t="s">
        <v>226</v>
      </c>
      <c r="BD31" s="667" t="s">
        <v>656</v>
      </c>
      <c r="BE31" s="667" t="e">
        <f>VLOOKUP(B3,$CF$6:$CK$212,4,FALSE)</f>
        <v>#N/A</v>
      </c>
      <c r="BF31" s="669" t="s">
        <v>249</v>
      </c>
      <c r="BG31" s="667" t="s">
        <v>249</v>
      </c>
      <c r="BH31" s="667" t="s">
        <v>249</v>
      </c>
      <c r="BI31" s="667" t="s">
        <v>249</v>
      </c>
      <c r="BJ31" s="667" t="s">
        <v>249</v>
      </c>
      <c r="BK31" s="667" t="s">
        <v>249</v>
      </c>
      <c r="BL31" s="667" t="s">
        <v>249</v>
      </c>
      <c r="BM31" s="667" t="s">
        <v>249</v>
      </c>
      <c r="BN31" s="667" t="s">
        <v>249</v>
      </c>
      <c r="BO31" s="667" t="s">
        <v>249</v>
      </c>
      <c r="BP31" s="667" t="s">
        <v>249</v>
      </c>
      <c r="BQ31" s="667" t="s">
        <v>249</v>
      </c>
      <c r="BR31" s="667" t="s">
        <v>249</v>
      </c>
      <c r="BS31" s="667" t="s">
        <v>249</v>
      </c>
      <c r="BT31" s="667" t="s">
        <v>249</v>
      </c>
      <c r="BU31" s="667" t="s">
        <v>249</v>
      </c>
      <c r="BV31" s="667" t="s">
        <v>249</v>
      </c>
      <c r="BW31" s="667" t="s">
        <v>249</v>
      </c>
      <c r="BX31" s="667" t="s">
        <v>249</v>
      </c>
      <c r="BY31" s="667" t="s">
        <v>249</v>
      </c>
      <c r="BZ31" s="667" t="s">
        <v>249</v>
      </c>
      <c r="CA31" s="667" t="s">
        <v>249</v>
      </c>
      <c r="CB31" s="61"/>
      <c r="CC31" s="577"/>
      <c r="CD31" s="572"/>
      <c r="CE31" s="572"/>
      <c r="CF31" s="251">
        <v>854</v>
      </c>
      <c r="CG31" s="252" t="s">
        <v>56</v>
      </c>
      <c r="CH31" s="659">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4" t="s">
        <v>295</v>
      </c>
      <c r="BC32" s="683" t="s">
        <v>516</v>
      </c>
      <c r="BD32" s="667" t="s">
        <v>656</v>
      </c>
      <c r="BE32" s="667" t="e">
        <f>ABS(BE30-BE31)</f>
        <v>#N/A</v>
      </c>
      <c r="BF32" s="667" t="s">
        <v>249</v>
      </c>
      <c r="BG32" s="667" t="s">
        <v>249</v>
      </c>
      <c r="BH32" s="667" t="s">
        <v>249</v>
      </c>
      <c r="BI32" s="667" t="s">
        <v>249</v>
      </c>
      <c r="BJ32" s="667" t="s">
        <v>249</v>
      </c>
      <c r="BK32" s="667" t="s">
        <v>249</v>
      </c>
      <c r="BL32" s="667" t="s">
        <v>249</v>
      </c>
      <c r="BM32" s="667" t="s">
        <v>249</v>
      </c>
      <c r="BN32" s="667" t="s">
        <v>249</v>
      </c>
      <c r="BO32" s="667" t="s">
        <v>249</v>
      </c>
      <c r="BP32" s="667" t="s">
        <v>249</v>
      </c>
      <c r="BQ32" s="667" t="s">
        <v>249</v>
      </c>
      <c r="BR32" s="667" t="s">
        <v>249</v>
      </c>
      <c r="BS32" s="667" t="s">
        <v>249</v>
      </c>
      <c r="BT32" s="667" t="s">
        <v>249</v>
      </c>
      <c r="BU32" s="667" t="s">
        <v>249</v>
      </c>
      <c r="BV32" s="667" t="s">
        <v>249</v>
      </c>
      <c r="BW32" s="667" t="s">
        <v>249</v>
      </c>
      <c r="BX32" s="667" t="s">
        <v>249</v>
      </c>
      <c r="BY32" s="667" t="s">
        <v>249</v>
      </c>
      <c r="BZ32" s="667" t="s">
        <v>249</v>
      </c>
      <c r="CA32" s="667" t="s">
        <v>249</v>
      </c>
      <c r="CB32" s="60"/>
      <c r="CC32" s="577"/>
      <c r="CD32" s="572"/>
      <c r="CE32" s="572"/>
      <c r="CF32" s="251">
        <v>108</v>
      </c>
      <c r="CG32" s="252" t="s">
        <v>57</v>
      </c>
      <c r="CH32" s="659">
        <v>35455.42</v>
      </c>
      <c r="CI32" s="251">
        <v>10060</v>
      </c>
      <c r="CJ32" s="251">
        <v>126</v>
      </c>
      <c r="CK32" s="251">
        <v>12536</v>
      </c>
      <c r="CL32" s="311"/>
    </row>
    <row r="33" spans="1:90" s="231" customFormat="1" ht="19.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7">
        <v>4</v>
      </c>
      <c r="BC33" s="668" t="s">
        <v>216</v>
      </c>
      <c r="BD33" s="667" t="s">
        <v>656</v>
      </c>
      <c r="BE33" s="667">
        <f>F11</f>
        <v>0</v>
      </c>
      <c r="BF33" s="667" t="s">
        <v>249</v>
      </c>
      <c r="BG33" s="667" t="s">
        <v>249</v>
      </c>
      <c r="BH33" s="667" t="s">
        <v>249</v>
      </c>
      <c r="BI33" s="667" t="s">
        <v>249</v>
      </c>
      <c r="BJ33" s="667" t="s">
        <v>249</v>
      </c>
      <c r="BK33" s="667" t="s">
        <v>249</v>
      </c>
      <c r="BL33" s="667" t="s">
        <v>249</v>
      </c>
      <c r="BM33" s="667" t="s">
        <v>249</v>
      </c>
      <c r="BN33" s="667" t="s">
        <v>249</v>
      </c>
      <c r="BO33" s="667" t="s">
        <v>249</v>
      </c>
      <c r="BP33" s="667" t="s">
        <v>249</v>
      </c>
      <c r="BQ33" s="667" t="s">
        <v>249</v>
      </c>
      <c r="BR33" s="667" t="s">
        <v>249</v>
      </c>
      <c r="BS33" s="667" t="s">
        <v>249</v>
      </c>
      <c r="BT33" s="667" t="s">
        <v>249</v>
      </c>
      <c r="BU33" s="667" t="s">
        <v>249</v>
      </c>
      <c r="BV33" s="667" t="s">
        <v>249</v>
      </c>
      <c r="BW33" s="667" t="s">
        <v>249</v>
      </c>
      <c r="BX33" s="667" t="s">
        <v>249</v>
      </c>
      <c r="BY33" s="667" t="s">
        <v>249</v>
      </c>
      <c r="BZ33" s="667" t="s">
        <v>249</v>
      </c>
      <c r="CA33" s="667" t="s">
        <v>249</v>
      </c>
      <c r="CB33" s="60"/>
      <c r="CC33" s="578"/>
      <c r="CD33" s="541"/>
      <c r="CE33" s="541"/>
      <c r="CF33" s="251">
        <v>132</v>
      </c>
      <c r="CG33" s="252" t="s">
        <v>560</v>
      </c>
      <c r="CH33" s="659">
        <v>918.84</v>
      </c>
      <c r="CI33" s="251">
        <v>300</v>
      </c>
      <c r="CJ33" s="251">
        <v>0</v>
      </c>
      <c r="CK33" s="251">
        <v>300</v>
      </c>
      <c r="CL33" s="320"/>
    </row>
    <row r="34" spans="54:89" ht="12" customHeight="1">
      <c r="BB34" s="682">
        <v>14</v>
      </c>
      <c r="BC34" s="683" t="s">
        <v>228</v>
      </c>
      <c r="BD34" s="667" t="s">
        <v>656</v>
      </c>
      <c r="BE34" s="667" t="e">
        <f>VLOOKUP(B3,$CF$6:$CK$212,5,FALSE)</f>
        <v>#N/A</v>
      </c>
      <c r="BF34" s="667" t="s">
        <v>249</v>
      </c>
      <c r="BG34" s="667" t="s">
        <v>249</v>
      </c>
      <c r="BH34" s="667" t="s">
        <v>249</v>
      </c>
      <c r="BI34" s="667" t="s">
        <v>249</v>
      </c>
      <c r="BJ34" s="667" t="s">
        <v>249</v>
      </c>
      <c r="BK34" s="667" t="s">
        <v>249</v>
      </c>
      <c r="BL34" s="667" t="s">
        <v>249</v>
      </c>
      <c r="BM34" s="667" t="s">
        <v>249</v>
      </c>
      <c r="BN34" s="667" t="s">
        <v>249</v>
      </c>
      <c r="BO34" s="667" t="s">
        <v>249</v>
      </c>
      <c r="BP34" s="667" t="s">
        <v>249</v>
      </c>
      <c r="BQ34" s="667" t="s">
        <v>249</v>
      </c>
      <c r="BR34" s="667" t="s">
        <v>249</v>
      </c>
      <c r="BS34" s="667" t="s">
        <v>249</v>
      </c>
      <c r="BT34" s="667" t="s">
        <v>249</v>
      </c>
      <c r="BU34" s="667" t="s">
        <v>249</v>
      </c>
      <c r="BV34" s="667" t="s">
        <v>249</v>
      </c>
      <c r="BW34" s="667" t="s">
        <v>249</v>
      </c>
      <c r="BX34" s="667" t="s">
        <v>249</v>
      </c>
      <c r="BY34" s="667" t="s">
        <v>249</v>
      </c>
      <c r="BZ34" s="667" t="s">
        <v>249</v>
      </c>
      <c r="CA34" s="667" t="s">
        <v>249</v>
      </c>
      <c r="CB34" s="60"/>
      <c r="CF34" s="251">
        <v>116</v>
      </c>
      <c r="CG34" s="252" t="s">
        <v>58</v>
      </c>
      <c r="CH34" s="659">
        <v>344700.16</v>
      </c>
      <c r="CI34" s="251">
        <v>120600</v>
      </c>
      <c r="CJ34" s="251">
        <v>355500</v>
      </c>
      <c r="CK34" s="251">
        <v>476100</v>
      </c>
    </row>
    <row r="35" spans="3:89" ht="18" customHeight="1">
      <c r="C35" s="321" t="s">
        <v>337</v>
      </c>
      <c r="D35" s="880" t="s">
        <v>336</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c r="AZ35" s="882"/>
      <c r="BB35" s="684" t="s">
        <v>295</v>
      </c>
      <c r="BC35" s="683" t="s">
        <v>517</v>
      </c>
      <c r="BD35" s="667" t="s">
        <v>656</v>
      </c>
      <c r="BE35" s="667" t="e">
        <f>ABS(BE33-BE34)</f>
        <v>#N/A</v>
      </c>
      <c r="BF35" s="667" t="s">
        <v>249</v>
      </c>
      <c r="BG35" s="667" t="s">
        <v>249</v>
      </c>
      <c r="BH35" s="667" t="s">
        <v>249</v>
      </c>
      <c r="BI35" s="667" t="s">
        <v>249</v>
      </c>
      <c r="BJ35" s="667" t="s">
        <v>249</v>
      </c>
      <c r="BK35" s="667" t="s">
        <v>249</v>
      </c>
      <c r="BL35" s="667" t="s">
        <v>249</v>
      </c>
      <c r="BM35" s="667" t="s">
        <v>249</v>
      </c>
      <c r="BN35" s="667" t="s">
        <v>249</v>
      </c>
      <c r="BO35" s="667" t="s">
        <v>249</v>
      </c>
      <c r="BP35" s="667" t="s">
        <v>249</v>
      </c>
      <c r="BQ35" s="667" t="s">
        <v>249</v>
      </c>
      <c r="BR35" s="667" t="s">
        <v>249</v>
      </c>
      <c r="BS35" s="667" t="s">
        <v>249</v>
      </c>
      <c r="BT35" s="667" t="s">
        <v>249</v>
      </c>
      <c r="BU35" s="667" t="s">
        <v>249</v>
      </c>
      <c r="BV35" s="667" t="s">
        <v>249</v>
      </c>
      <c r="BW35" s="667" t="s">
        <v>249</v>
      </c>
      <c r="BX35" s="667" t="s">
        <v>249</v>
      </c>
      <c r="BY35" s="667" t="s">
        <v>249</v>
      </c>
      <c r="BZ35" s="667" t="s">
        <v>249</v>
      </c>
      <c r="CA35" s="667" t="s">
        <v>249</v>
      </c>
      <c r="CB35" s="60"/>
      <c r="CF35" s="251">
        <v>120</v>
      </c>
      <c r="CG35" s="252" t="s">
        <v>59</v>
      </c>
      <c r="CH35" s="659">
        <v>762605.76</v>
      </c>
      <c r="CI35" s="251">
        <v>273000</v>
      </c>
      <c r="CJ35" s="251">
        <v>4000</v>
      </c>
      <c r="CK35" s="251">
        <v>283150</v>
      </c>
    </row>
    <row r="36" spans="3:89"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5"/>
      <c r="BB36" s="662">
        <v>5</v>
      </c>
      <c r="BC36" s="671" t="s">
        <v>212</v>
      </c>
      <c r="BD36" s="667" t="s">
        <v>656</v>
      </c>
      <c r="BE36" s="667">
        <f>F12</f>
        <v>0</v>
      </c>
      <c r="BF36" s="667" t="s">
        <v>249</v>
      </c>
      <c r="BG36" s="667" t="s">
        <v>249</v>
      </c>
      <c r="BH36" s="667" t="s">
        <v>249</v>
      </c>
      <c r="BI36" s="667" t="s">
        <v>249</v>
      </c>
      <c r="BJ36" s="667" t="s">
        <v>249</v>
      </c>
      <c r="BK36" s="667" t="s">
        <v>249</v>
      </c>
      <c r="BL36" s="667" t="s">
        <v>249</v>
      </c>
      <c r="BM36" s="667" t="s">
        <v>249</v>
      </c>
      <c r="BN36" s="667" t="s">
        <v>249</v>
      </c>
      <c r="BO36" s="667" t="s">
        <v>249</v>
      </c>
      <c r="BP36" s="667" t="s">
        <v>249</v>
      </c>
      <c r="BQ36" s="667" t="s">
        <v>249</v>
      </c>
      <c r="BR36" s="667" t="s">
        <v>249</v>
      </c>
      <c r="BS36" s="667" t="s">
        <v>249</v>
      </c>
      <c r="BT36" s="667" t="s">
        <v>249</v>
      </c>
      <c r="BU36" s="667" t="s">
        <v>249</v>
      </c>
      <c r="BV36" s="667" t="s">
        <v>249</v>
      </c>
      <c r="BW36" s="667" t="s">
        <v>249</v>
      </c>
      <c r="BX36" s="667" t="s">
        <v>249</v>
      </c>
      <c r="BY36" s="667" t="s">
        <v>249</v>
      </c>
      <c r="BZ36" s="667" t="s">
        <v>249</v>
      </c>
      <c r="CA36" s="667" t="s">
        <v>249</v>
      </c>
      <c r="CB36" s="60"/>
      <c r="CF36" s="251">
        <v>140</v>
      </c>
      <c r="CG36" s="252" t="s">
        <v>60</v>
      </c>
      <c r="CH36" s="659">
        <v>836662.14</v>
      </c>
      <c r="CI36" s="251">
        <v>141000</v>
      </c>
      <c r="CJ36" s="251">
        <v>0</v>
      </c>
      <c r="CK36" s="251">
        <v>141000</v>
      </c>
    </row>
    <row r="37" spans="3:89"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5"/>
      <c r="BB37" s="682">
        <v>15</v>
      </c>
      <c r="BC37" s="683" t="s">
        <v>227</v>
      </c>
      <c r="BD37" s="667" t="s">
        <v>656</v>
      </c>
      <c r="BE37" s="667" t="e">
        <f>VLOOKUP(B3,$CF$6:$CK$212,6,FALSE)</f>
        <v>#N/A</v>
      </c>
      <c r="BF37" s="667" t="s">
        <v>249</v>
      </c>
      <c r="BG37" s="667" t="s">
        <v>249</v>
      </c>
      <c r="BH37" s="667" t="s">
        <v>249</v>
      </c>
      <c r="BI37" s="667" t="s">
        <v>249</v>
      </c>
      <c r="BJ37" s="667" t="s">
        <v>249</v>
      </c>
      <c r="BK37" s="667" t="s">
        <v>249</v>
      </c>
      <c r="BL37" s="667" t="s">
        <v>249</v>
      </c>
      <c r="BM37" s="667" t="s">
        <v>249</v>
      </c>
      <c r="BN37" s="667" t="s">
        <v>249</v>
      </c>
      <c r="BO37" s="667" t="s">
        <v>249</v>
      </c>
      <c r="BP37" s="667" t="s">
        <v>249</v>
      </c>
      <c r="BQ37" s="667" t="s">
        <v>249</v>
      </c>
      <c r="BR37" s="667" t="s">
        <v>249</v>
      </c>
      <c r="BS37" s="667" t="s">
        <v>249</v>
      </c>
      <c r="BT37" s="667" t="s">
        <v>249</v>
      </c>
      <c r="BU37" s="667" t="s">
        <v>249</v>
      </c>
      <c r="BV37" s="667" t="s">
        <v>249</v>
      </c>
      <c r="BW37" s="667" t="s">
        <v>249</v>
      </c>
      <c r="BX37" s="667" t="s">
        <v>249</v>
      </c>
      <c r="BY37" s="667" t="s">
        <v>249</v>
      </c>
      <c r="BZ37" s="667" t="s">
        <v>249</v>
      </c>
      <c r="CA37" s="667" t="s">
        <v>249</v>
      </c>
      <c r="CB37" s="60"/>
      <c r="CF37" s="251">
        <v>148</v>
      </c>
      <c r="CG37" s="252" t="s">
        <v>61</v>
      </c>
      <c r="CH37" s="659">
        <v>413448</v>
      </c>
      <c r="CI37" s="251">
        <v>15000</v>
      </c>
      <c r="CJ37" s="251">
        <v>30700</v>
      </c>
      <c r="CK37" s="251">
        <v>45700</v>
      </c>
    </row>
    <row r="38" spans="3:89"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5"/>
      <c r="BB38" s="688" t="s">
        <v>295</v>
      </c>
      <c r="BC38" s="689" t="s">
        <v>518</v>
      </c>
      <c r="BD38" s="677" t="s">
        <v>656</v>
      </c>
      <c r="BE38" s="677" t="e">
        <f>ABS(BE36-BE37)</f>
        <v>#N/A</v>
      </c>
      <c r="BF38" s="677" t="s">
        <v>249</v>
      </c>
      <c r="BG38" s="677" t="s">
        <v>249</v>
      </c>
      <c r="BH38" s="677" t="s">
        <v>249</v>
      </c>
      <c r="BI38" s="677" t="s">
        <v>249</v>
      </c>
      <c r="BJ38" s="677" t="s">
        <v>249</v>
      </c>
      <c r="BK38" s="677" t="s">
        <v>249</v>
      </c>
      <c r="BL38" s="677" t="s">
        <v>249</v>
      </c>
      <c r="BM38" s="677" t="s">
        <v>249</v>
      </c>
      <c r="BN38" s="677" t="s">
        <v>249</v>
      </c>
      <c r="BO38" s="677" t="s">
        <v>249</v>
      </c>
      <c r="BP38" s="677" t="s">
        <v>249</v>
      </c>
      <c r="BQ38" s="677" t="s">
        <v>249</v>
      </c>
      <c r="BR38" s="677" t="s">
        <v>249</v>
      </c>
      <c r="BS38" s="677" t="s">
        <v>249</v>
      </c>
      <c r="BT38" s="677" t="s">
        <v>249</v>
      </c>
      <c r="BU38" s="677" t="s">
        <v>249</v>
      </c>
      <c r="BV38" s="677" t="s">
        <v>249</v>
      </c>
      <c r="BW38" s="677" t="s">
        <v>249</v>
      </c>
      <c r="BX38" s="677" t="s">
        <v>249</v>
      </c>
      <c r="BY38" s="677" t="s">
        <v>249</v>
      </c>
      <c r="BZ38" s="677" t="s">
        <v>249</v>
      </c>
      <c r="CA38" s="677" t="s">
        <v>249</v>
      </c>
      <c r="CB38" s="74"/>
      <c r="CF38" s="251">
        <v>156</v>
      </c>
      <c r="CG38" s="252" t="s">
        <v>62</v>
      </c>
      <c r="CH38" s="659">
        <v>6192008.3205</v>
      </c>
      <c r="CI38" s="251">
        <v>2812900</v>
      </c>
      <c r="CJ38" s="251">
        <v>17170</v>
      </c>
      <c r="CK38" s="251">
        <v>2840220</v>
      </c>
    </row>
    <row r="39" spans="3:89"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5"/>
      <c r="BB39" s="690" t="s">
        <v>229</v>
      </c>
      <c r="BC39" s="691" t="s">
        <v>230</v>
      </c>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F39" s="251">
        <v>344</v>
      </c>
      <c r="CG39" s="252" t="s">
        <v>63</v>
      </c>
      <c r="CH39" s="659">
        <v>0</v>
      </c>
      <c r="CI39" s="251">
        <v>0</v>
      </c>
      <c r="CJ39" s="251">
        <v>0</v>
      </c>
      <c r="CK39" s="251">
        <v>0</v>
      </c>
    </row>
    <row r="40" spans="3:89" ht="18" customHeight="1">
      <c r="C40" s="559"/>
      <c r="D40" s="86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873"/>
      <c r="AM40" s="873"/>
      <c r="AN40" s="873"/>
      <c r="AO40" s="873"/>
      <c r="AP40" s="873"/>
      <c r="AQ40" s="873"/>
      <c r="AR40" s="873"/>
      <c r="AS40" s="873"/>
      <c r="AT40" s="873"/>
      <c r="AU40" s="873"/>
      <c r="AV40" s="873"/>
      <c r="AW40" s="873"/>
      <c r="AX40" s="873"/>
      <c r="AY40" s="873"/>
      <c r="AZ40" s="874"/>
      <c r="BB40" s="690" t="s">
        <v>231</v>
      </c>
      <c r="BC40" s="691" t="s">
        <v>232</v>
      </c>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F40" s="251">
        <v>446</v>
      </c>
      <c r="CG40" s="252" t="s">
        <v>64</v>
      </c>
      <c r="CH40" s="659">
        <v>0</v>
      </c>
      <c r="CI40" s="251">
        <v>0</v>
      </c>
      <c r="CJ40" s="251">
        <v>0</v>
      </c>
      <c r="CK40" s="251">
        <v>0</v>
      </c>
    </row>
    <row r="41" spans="3:89"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5"/>
      <c r="BB41" s="692" t="s">
        <v>234</v>
      </c>
      <c r="BC41" s="691" t="s">
        <v>236</v>
      </c>
      <c r="BD41" s="693"/>
      <c r="BE41" s="681"/>
      <c r="BF41" s="681"/>
      <c r="BG41" s="681"/>
      <c r="BH41" s="681"/>
      <c r="BI41" s="681"/>
      <c r="BJ41" s="681"/>
      <c r="BK41" s="681"/>
      <c r="BL41" s="681"/>
      <c r="BM41" s="681"/>
      <c r="BN41" s="681"/>
      <c r="BO41" s="681"/>
      <c r="BP41" s="681"/>
      <c r="BQ41" s="681"/>
      <c r="BR41" s="681"/>
      <c r="BS41" s="681"/>
      <c r="BT41" s="681"/>
      <c r="BU41" s="681"/>
      <c r="BV41" s="681"/>
      <c r="BW41" s="681"/>
      <c r="BX41" s="681"/>
      <c r="BY41" s="681"/>
      <c r="BZ41" s="681"/>
      <c r="CA41" s="681"/>
      <c r="CF41" s="251">
        <v>170</v>
      </c>
      <c r="CG41" s="252" t="s">
        <v>65</v>
      </c>
      <c r="CH41" s="659">
        <v>3699270</v>
      </c>
      <c r="CI41" s="251">
        <v>2145000</v>
      </c>
      <c r="CJ41" s="251">
        <v>215000</v>
      </c>
      <c r="CK41" s="251">
        <v>2360000</v>
      </c>
    </row>
    <row r="42" spans="3:89" ht="18" customHeight="1">
      <c r="C42" s="559"/>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5"/>
      <c r="BB42" s="692" t="s">
        <v>233</v>
      </c>
      <c r="BC42" s="691" t="s">
        <v>206</v>
      </c>
      <c r="BD42" s="693"/>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F42" s="251">
        <v>174</v>
      </c>
      <c r="CG42" s="252" t="s">
        <v>66</v>
      </c>
      <c r="CH42" s="659">
        <v>1674.9</v>
      </c>
      <c r="CI42" s="251">
        <v>1200</v>
      </c>
      <c r="CJ42" s="251">
        <v>0</v>
      </c>
      <c r="CK42" s="251">
        <v>1200</v>
      </c>
    </row>
    <row r="43" spans="3:89" ht="18" customHeight="1">
      <c r="C43" s="559"/>
      <c r="D43" s="863"/>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5"/>
      <c r="BB43" s="690" t="s">
        <v>235</v>
      </c>
      <c r="BC43" s="691" t="s">
        <v>237</v>
      </c>
      <c r="BD43" s="693"/>
      <c r="BE43" s="681"/>
      <c r="BF43" s="681"/>
      <c r="BG43" s="681"/>
      <c r="BH43" s="681"/>
      <c r="BI43" s="681"/>
      <c r="BJ43" s="681"/>
      <c r="BK43" s="681"/>
      <c r="BL43" s="681"/>
      <c r="BM43" s="681"/>
      <c r="BN43" s="681"/>
      <c r="BO43" s="681"/>
      <c r="BP43" s="681"/>
      <c r="BQ43" s="681"/>
      <c r="BR43" s="681"/>
      <c r="BS43" s="681"/>
      <c r="BT43" s="681"/>
      <c r="BU43" s="681"/>
      <c r="BV43" s="681"/>
      <c r="BW43" s="681"/>
      <c r="BX43" s="681"/>
      <c r="BY43" s="681"/>
      <c r="BZ43" s="681"/>
      <c r="CA43" s="681"/>
      <c r="CF43" s="251">
        <v>178</v>
      </c>
      <c r="CG43" s="252" t="s">
        <v>67</v>
      </c>
      <c r="CH43" s="659">
        <v>562932</v>
      </c>
      <c r="CI43" s="251">
        <v>222000</v>
      </c>
      <c r="CJ43" s="251">
        <v>52000</v>
      </c>
      <c r="CK43" s="251">
        <v>832000</v>
      </c>
    </row>
    <row r="44" spans="3:89" ht="18" customHeight="1">
      <c r="C44" s="559"/>
      <c r="D44" s="863"/>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5"/>
      <c r="BB44" s="323" t="s">
        <v>235</v>
      </c>
      <c r="BC44" s="324" t="s">
        <v>237</v>
      </c>
      <c r="BD44" s="326"/>
      <c r="CF44" s="251">
        <v>188</v>
      </c>
      <c r="CG44" s="252" t="s">
        <v>68</v>
      </c>
      <c r="CH44" s="659">
        <v>149518.6</v>
      </c>
      <c r="CI44" s="251">
        <v>76840</v>
      </c>
      <c r="CJ44" s="251">
        <v>0</v>
      </c>
      <c r="CK44" s="251">
        <v>113000</v>
      </c>
    </row>
    <row r="45" spans="3:89" ht="18" customHeight="1">
      <c r="C45" s="559"/>
      <c r="D45" s="863"/>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5"/>
      <c r="BD45" s="326"/>
      <c r="CF45" s="251">
        <v>384</v>
      </c>
      <c r="CG45" s="252" t="s">
        <v>271</v>
      </c>
      <c r="CH45" s="659">
        <v>434676.08</v>
      </c>
      <c r="CI45" s="251">
        <v>37700</v>
      </c>
      <c r="CJ45" s="251">
        <v>4300</v>
      </c>
      <c r="CK45" s="251">
        <v>84140</v>
      </c>
    </row>
    <row r="46" spans="3:89" ht="18.75" customHeight="1">
      <c r="C46" s="559"/>
      <c r="D46" s="863"/>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5"/>
      <c r="CF46" s="251">
        <v>191</v>
      </c>
      <c r="CG46" s="252" t="s">
        <v>69</v>
      </c>
      <c r="CH46" s="659">
        <v>62989.122</v>
      </c>
      <c r="CI46" s="251">
        <v>0</v>
      </c>
      <c r="CJ46" s="251">
        <v>33470</v>
      </c>
      <c r="CK46" s="251">
        <v>105500</v>
      </c>
    </row>
    <row r="47" spans="3:89" ht="18" customHeight="1">
      <c r="C47" s="559"/>
      <c r="D47" s="863"/>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5"/>
      <c r="BD47" s="326"/>
      <c r="CF47" s="251">
        <v>192</v>
      </c>
      <c r="CG47" s="252" t="s">
        <v>70</v>
      </c>
      <c r="CH47" s="659">
        <v>146689.8</v>
      </c>
      <c r="CI47" s="251">
        <v>38120</v>
      </c>
      <c r="CJ47" s="251">
        <v>0</v>
      </c>
      <c r="CK47" s="251">
        <v>38120</v>
      </c>
    </row>
    <row r="48" spans="3:89" ht="18" customHeight="1">
      <c r="C48" s="559"/>
      <c r="D48" s="863"/>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5"/>
      <c r="BB48" s="326"/>
      <c r="BC48" s="326"/>
      <c r="BD48" s="326"/>
      <c r="CF48" s="251">
        <v>196</v>
      </c>
      <c r="CG48" s="252" t="s">
        <v>71</v>
      </c>
      <c r="CH48" s="659">
        <v>4606.5</v>
      </c>
      <c r="CI48" s="251">
        <v>780</v>
      </c>
      <c r="CJ48" s="251">
        <v>0</v>
      </c>
      <c r="CK48" s="251">
        <v>780</v>
      </c>
    </row>
    <row r="49" spans="3:89" ht="18.75" customHeight="1">
      <c r="C49" s="559"/>
      <c r="D49" s="863"/>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5"/>
      <c r="CF49" s="251">
        <v>408</v>
      </c>
      <c r="CG49" s="252" t="s">
        <v>272</v>
      </c>
      <c r="CH49" s="659">
        <v>127049.16</v>
      </c>
      <c r="CI49" s="251">
        <v>67000</v>
      </c>
      <c r="CJ49" s="251">
        <v>0</v>
      </c>
      <c r="CK49" s="251">
        <v>77150</v>
      </c>
    </row>
    <row r="50" spans="3:89" ht="20.25" customHeight="1">
      <c r="C50" s="559"/>
      <c r="D50" s="863"/>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5"/>
      <c r="CF50" s="251">
        <v>180</v>
      </c>
      <c r="CG50" s="252" t="s">
        <v>273</v>
      </c>
      <c r="CH50" s="659">
        <v>3618118.98</v>
      </c>
      <c r="CI50" s="251">
        <v>900000</v>
      </c>
      <c r="CJ50" s="251">
        <v>383000</v>
      </c>
      <c r="CK50" s="251">
        <v>1283000</v>
      </c>
    </row>
    <row r="51" spans="3:89"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5"/>
      <c r="CF51" s="251">
        <v>262</v>
      </c>
      <c r="CG51" s="252" t="s">
        <v>72</v>
      </c>
      <c r="CH51" s="659">
        <v>5104</v>
      </c>
      <c r="CI51" s="251">
        <v>300</v>
      </c>
      <c r="CJ51" s="251">
        <v>0</v>
      </c>
      <c r="CK51" s="251">
        <v>300</v>
      </c>
    </row>
    <row r="52" spans="3:8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5"/>
      <c r="CF52" s="251">
        <v>212</v>
      </c>
      <c r="CG52" s="252" t="s">
        <v>73</v>
      </c>
      <c r="CH52" s="659">
        <v>1562.25</v>
      </c>
      <c r="CI52" s="251">
        <v>200</v>
      </c>
      <c r="CJ52" s="251">
        <v>0</v>
      </c>
      <c r="CK52" s="251">
        <v>200</v>
      </c>
    </row>
    <row r="53" spans="3:8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5"/>
      <c r="CF53" s="251">
        <v>214</v>
      </c>
      <c r="CG53" s="252" t="s">
        <v>74</v>
      </c>
      <c r="CH53" s="659">
        <v>68624.7</v>
      </c>
      <c r="CI53" s="251">
        <v>23500</v>
      </c>
      <c r="CJ53" s="251">
        <v>0</v>
      </c>
      <c r="CK53" s="251">
        <v>23500</v>
      </c>
    </row>
    <row r="54" spans="3:89" ht="18.75"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5"/>
      <c r="CF54" s="251">
        <v>218</v>
      </c>
      <c r="CG54" s="252" t="s">
        <v>75</v>
      </c>
      <c r="CH54" s="659">
        <v>582985.38</v>
      </c>
      <c r="CI54" s="251">
        <v>442400</v>
      </c>
      <c r="CJ54" s="251">
        <v>0</v>
      </c>
      <c r="CK54" s="251">
        <v>442400</v>
      </c>
    </row>
    <row r="55" spans="3:8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5"/>
      <c r="CF55" s="251">
        <v>818</v>
      </c>
      <c r="CG55" s="252" t="s">
        <v>76</v>
      </c>
      <c r="CH55" s="659">
        <v>18126.245000000003</v>
      </c>
      <c r="CI55" s="251">
        <v>1000</v>
      </c>
      <c r="CJ55" s="251">
        <v>84000</v>
      </c>
      <c r="CK55" s="251">
        <v>57500</v>
      </c>
    </row>
    <row r="56" spans="3:89"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5"/>
      <c r="CF56" s="251">
        <v>222</v>
      </c>
      <c r="CG56" s="252" t="s">
        <v>77</v>
      </c>
      <c r="CH56" s="659">
        <v>37535.36</v>
      </c>
      <c r="CI56" s="251">
        <v>15630</v>
      </c>
      <c r="CJ56" s="251">
        <v>10640</v>
      </c>
      <c r="CK56" s="251">
        <v>26270</v>
      </c>
    </row>
    <row r="57" spans="3:89" ht="18" customHeight="1">
      <c r="C57" s="560"/>
      <c r="D57" s="877"/>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878"/>
      <c r="AZ57" s="879"/>
      <c r="CF57" s="251">
        <v>226</v>
      </c>
      <c r="CG57" s="252" t="s">
        <v>78</v>
      </c>
      <c r="CH57" s="659">
        <v>60475.8</v>
      </c>
      <c r="CI57" s="251">
        <v>26000</v>
      </c>
      <c r="CJ57" s="251">
        <v>0</v>
      </c>
      <c r="CK57" s="251">
        <v>26000</v>
      </c>
    </row>
    <row r="58" spans="3:89" ht="16.5" customHeight="1">
      <c r="C58" s="875"/>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327"/>
      <c r="AQ58" s="327"/>
      <c r="AR58" s="327"/>
      <c r="AS58" s="327"/>
      <c r="CF58" s="251">
        <v>232</v>
      </c>
      <c r="CG58" s="252" t="s">
        <v>79</v>
      </c>
      <c r="CH58" s="659">
        <v>46758.073728</v>
      </c>
      <c r="CI58" s="251">
        <v>2800</v>
      </c>
      <c r="CJ58" s="251">
        <v>700</v>
      </c>
      <c r="CK58" s="251">
        <v>7315</v>
      </c>
    </row>
    <row r="59" spans="3:89" ht="12.75">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327"/>
      <c r="AQ59" s="327"/>
      <c r="AR59" s="327"/>
      <c r="AS59" s="327"/>
      <c r="CF59" s="251">
        <v>231</v>
      </c>
      <c r="CG59" s="252" t="s">
        <v>80</v>
      </c>
      <c r="CH59" s="659">
        <v>963533.637456</v>
      </c>
      <c r="CI59" s="251">
        <v>122000</v>
      </c>
      <c r="CJ59" s="251">
        <v>0</v>
      </c>
      <c r="CK59" s="251">
        <v>122000</v>
      </c>
    </row>
    <row r="60" spans="84:89" ht="12.75">
      <c r="CF60" s="251">
        <v>234</v>
      </c>
      <c r="CG60" s="252" t="s">
        <v>561</v>
      </c>
      <c r="CH60" s="659">
        <v>0</v>
      </c>
      <c r="CI60" s="251">
        <v>0</v>
      </c>
      <c r="CJ60" s="251">
        <v>0</v>
      </c>
      <c r="CK60" s="251">
        <v>0</v>
      </c>
    </row>
    <row r="61" spans="84:89" ht="12.75">
      <c r="CF61" s="251">
        <v>242</v>
      </c>
      <c r="CG61" s="252" t="s">
        <v>81</v>
      </c>
      <c r="CH61" s="659">
        <v>47355.840000000004</v>
      </c>
      <c r="CI61" s="251">
        <v>28550</v>
      </c>
      <c r="CJ61" s="251">
        <v>0</v>
      </c>
      <c r="CK61" s="251">
        <v>28550</v>
      </c>
    </row>
    <row r="62" spans="84:89" ht="21">
      <c r="CF62" s="251">
        <v>254</v>
      </c>
      <c r="CG62" s="252" t="s">
        <v>82</v>
      </c>
      <c r="CH62" s="659">
        <v>0</v>
      </c>
      <c r="CI62" s="251">
        <v>0</v>
      </c>
      <c r="CJ62" s="251">
        <v>0</v>
      </c>
      <c r="CK62" s="251">
        <v>0</v>
      </c>
    </row>
    <row r="63" spans="84:89" ht="12.75">
      <c r="CF63" s="251">
        <v>266</v>
      </c>
      <c r="CG63" s="252" t="s">
        <v>83</v>
      </c>
      <c r="CH63" s="659">
        <v>490103.77</v>
      </c>
      <c r="CI63" s="251">
        <v>164000</v>
      </c>
      <c r="CJ63" s="251">
        <v>2000</v>
      </c>
      <c r="CK63" s="251">
        <v>166000</v>
      </c>
    </row>
    <row r="64" spans="84:89" ht="12.75">
      <c r="CF64" s="251">
        <v>270</v>
      </c>
      <c r="CG64" s="252" t="s">
        <v>84</v>
      </c>
      <c r="CH64" s="659">
        <v>9446.8</v>
      </c>
      <c r="CI64" s="251">
        <v>3000</v>
      </c>
      <c r="CJ64" s="251">
        <v>5000</v>
      </c>
      <c r="CK64" s="251">
        <v>8000</v>
      </c>
    </row>
    <row r="65" spans="84:89" ht="12.75">
      <c r="CF65" s="251">
        <v>268</v>
      </c>
      <c r="CG65" s="252" t="s">
        <v>85</v>
      </c>
      <c r="CH65" s="659">
        <v>71512.20000000001</v>
      </c>
      <c r="CI65" s="251">
        <v>58130</v>
      </c>
      <c r="CJ65" s="251">
        <v>8350</v>
      </c>
      <c r="CK65" s="251">
        <v>63330</v>
      </c>
    </row>
    <row r="66" spans="84:89" ht="12.75">
      <c r="CF66" s="251">
        <v>288</v>
      </c>
      <c r="CG66" s="252" t="s">
        <v>86</v>
      </c>
      <c r="CH66" s="659">
        <v>283146.98</v>
      </c>
      <c r="CI66" s="251">
        <v>30300</v>
      </c>
      <c r="CJ66" s="251">
        <v>25900</v>
      </c>
      <c r="CK66" s="251">
        <v>56200</v>
      </c>
    </row>
    <row r="67" spans="84:89" ht="12.75">
      <c r="CF67" s="251">
        <v>304</v>
      </c>
      <c r="CG67" s="252" t="s">
        <v>87</v>
      </c>
      <c r="CH67" s="659"/>
      <c r="CI67" s="251"/>
      <c r="CJ67" s="251"/>
      <c r="CK67" s="251"/>
    </row>
    <row r="68" spans="84:89" ht="12.75">
      <c r="CF68" s="251">
        <v>308</v>
      </c>
      <c r="CG68" s="252" t="s">
        <v>88</v>
      </c>
      <c r="CH68" s="659">
        <v>799</v>
      </c>
      <c r="CI68" s="251">
        <v>200</v>
      </c>
      <c r="CJ68" s="251">
        <v>0</v>
      </c>
      <c r="CK68" s="251">
        <v>200</v>
      </c>
    </row>
    <row r="69" spans="84:89" ht="12.75">
      <c r="CF69" s="251">
        <v>312</v>
      </c>
      <c r="CG69" s="252" t="s">
        <v>89</v>
      </c>
      <c r="CH69" s="659">
        <v>0</v>
      </c>
      <c r="CI69" s="251">
        <v>0</v>
      </c>
      <c r="CJ69" s="251">
        <v>0</v>
      </c>
      <c r="CK69" s="251">
        <v>0</v>
      </c>
    </row>
    <row r="70" spans="84:89" ht="12.75">
      <c r="CF70" s="251">
        <v>320</v>
      </c>
      <c r="CG70" s="252" t="s">
        <v>90</v>
      </c>
      <c r="CH70" s="659">
        <v>217344.44</v>
      </c>
      <c r="CI70" s="251">
        <v>109200</v>
      </c>
      <c r="CJ70" s="251">
        <v>18710</v>
      </c>
      <c r="CK70" s="251">
        <v>127910</v>
      </c>
    </row>
    <row r="71" spans="84:89" ht="12.75">
      <c r="CF71" s="251">
        <v>324</v>
      </c>
      <c r="CG71" s="252" t="s">
        <v>91</v>
      </c>
      <c r="CH71" s="659">
        <v>405914.86</v>
      </c>
      <c r="CI71" s="251">
        <v>226000</v>
      </c>
      <c r="CJ71" s="251">
        <v>0</v>
      </c>
      <c r="CK71" s="251">
        <v>226000</v>
      </c>
    </row>
    <row r="72" spans="84:89" ht="21">
      <c r="CF72" s="251">
        <v>624</v>
      </c>
      <c r="CG72" s="252" t="s">
        <v>92</v>
      </c>
      <c r="CH72" s="659">
        <v>56977.01</v>
      </c>
      <c r="CI72" s="251">
        <v>16000</v>
      </c>
      <c r="CJ72" s="251">
        <v>15400</v>
      </c>
      <c r="CK72" s="251">
        <v>31400</v>
      </c>
    </row>
    <row r="73" spans="84:89" ht="12.75">
      <c r="CF73" s="251">
        <v>328</v>
      </c>
      <c r="CG73" s="252" t="s">
        <v>97</v>
      </c>
      <c r="CH73" s="659">
        <v>513133.38999999996</v>
      </c>
      <c r="CI73" s="251">
        <v>241000</v>
      </c>
      <c r="CJ73" s="251">
        <v>30000</v>
      </c>
      <c r="CK73" s="251">
        <v>271000</v>
      </c>
    </row>
    <row r="74" spans="84:89" ht="12.75">
      <c r="CF74" s="251">
        <v>332</v>
      </c>
      <c r="CG74" s="252" t="s">
        <v>98</v>
      </c>
      <c r="CH74" s="659">
        <v>39960</v>
      </c>
      <c r="CI74" s="251">
        <v>13007</v>
      </c>
      <c r="CJ74" s="251">
        <v>1014.9999999999999</v>
      </c>
      <c r="CK74" s="251">
        <v>14022</v>
      </c>
    </row>
    <row r="75" spans="84:89" ht="12.75">
      <c r="CF75" s="251">
        <v>336</v>
      </c>
      <c r="CG75" s="252" t="s">
        <v>562</v>
      </c>
      <c r="CH75" s="659">
        <v>0</v>
      </c>
      <c r="CI75" s="251">
        <v>0</v>
      </c>
      <c r="CJ75" s="251">
        <v>0</v>
      </c>
      <c r="CK75" s="251">
        <v>0</v>
      </c>
    </row>
    <row r="76" spans="84:89" ht="12.75">
      <c r="CF76" s="251">
        <v>340</v>
      </c>
      <c r="CG76" s="252" t="s">
        <v>99</v>
      </c>
      <c r="CH76" s="659">
        <v>222280.24</v>
      </c>
      <c r="CI76" s="251">
        <v>90660</v>
      </c>
      <c r="CJ76" s="251">
        <v>1504</v>
      </c>
      <c r="CK76" s="251">
        <v>92164</v>
      </c>
    </row>
    <row r="77" spans="84:89" ht="12.75">
      <c r="CF77" s="251">
        <v>356</v>
      </c>
      <c r="CG77" s="252" t="s">
        <v>100</v>
      </c>
      <c r="CH77" s="659">
        <v>3560102.58</v>
      </c>
      <c r="CI77" s="251">
        <v>1446000</v>
      </c>
      <c r="CJ77" s="251">
        <v>635200</v>
      </c>
      <c r="CK77" s="251">
        <v>1910900</v>
      </c>
    </row>
    <row r="78" spans="84:89" ht="12.75">
      <c r="CF78" s="251">
        <v>360</v>
      </c>
      <c r="CG78" s="252" t="s">
        <v>101</v>
      </c>
      <c r="CH78" s="659">
        <v>5179361.6644</v>
      </c>
      <c r="CI78" s="251">
        <v>2018700</v>
      </c>
      <c r="CJ78" s="251">
        <v>0</v>
      </c>
      <c r="CK78" s="251">
        <v>2018700</v>
      </c>
    </row>
    <row r="79" spans="84:89" ht="21">
      <c r="CF79" s="251">
        <v>364</v>
      </c>
      <c r="CG79" s="252" t="s">
        <v>102</v>
      </c>
      <c r="CH79" s="659">
        <v>397894.2</v>
      </c>
      <c r="CI79" s="251">
        <v>128500</v>
      </c>
      <c r="CJ79" s="251">
        <v>7770</v>
      </c>
      <c r="CK79" s="251">
        <v>137045</v>
      </c>
    </row>
    <row r="80" spans="84:89" ht="12.75">
      <c r="CF80" s="251">
        <v>368</v>
      </c>
      <c r="CG80" s="252" t="s">
        <v>103</v>
      </c>
      <c r="CH80" s="659">
        <v>93971.232</v>
      </c>
      <c r="CI80" s="251">
        <v>35200</v>
      </c>
      <c r="CJ80" s="251">
        <v>61330</v>
      </c>
      <c r="CK80" s="251">
        <v>89860</v>
      </c>
    </row>
    <row r="81" spans="84:89" ht="12.75">
      <c r="CF81" s="251">
        <v>376</v>
      </c>
      <c r="CG81" s="252" t="s">
        <v>104</v>
      </c>
      <c r="CH81" s="659">
        <v>78573.04000000001</v>
      </c>
      <c r="CI81" s="251">
        <v>49000</v>
      </c>
      <c r="CJ81" s="251">
        <v>3000</v>
      </c>
      <c r="CK81" s="251">
        <v>52000</v>
      </c>
    </row>
    <row r="82" spans="84:89" ht="12.75">
      <c r="CF82" s="251">
        <v>388</v>
      </c>
      <c r="CG82" s="252" t="s">
        <v>105</v>
      </c>
      <c r="CH82" s="659">
        <v>22540.489999999998</v>
      </c>
      <c r="CI82" s="251">
        <v>10823</v>
      </c>
      <c r="CJ82" s="251">
        <v>0</v>
      </c>
      <c r="CK82" s="251">
        <v>10823</v>
      </c>
    </row>
    <row r="83" spans="84:89" ht="12.75">
      <c r="CF83" s="251">
        <v>400</v>
      </c>
      <c r="CG83" s="252" t="s">
        <v>106</v>
      </c>
      <c r="CH83" s="659">
        <v>9914.52</v>
      </c>
      <c r="CI83" s="251">
        <v>682</v>
      </c>
      <c r="CJ83" s="251">
        <v>400</v>
      </c>
      <c r="CK83" s="251">
        <v>937</v>
      </c>
    </row>
    <row r="84" spans="84:89" ht="12.75">
      <c r="CF84" s="251">
        <v>398</v>
      </c>
      <c r="CG84" s="252" t="s">
        <v>107</v>
      </c>
      <c r="CH84" s="659">
        <v>681225.5</v>
      </c>
      <c r="CI84" s="251">
        <v>64349.99999999999</v>
      </c>
      <c r="CJ84" s="251">
        <v>72040</v>
      </c>
      <c r="CK84" s="251">
        <v>108410</v>
      </c>
    </row>
    <row r="85" spans="84:89" ht="12.75">
      <c r="CF85" s="251">
        <v>404</v>
      </c>
      <c r="CG85" s="252" t="s">
        <v>108</v>
      </c>
      <c r="CH85" s="659">
        <v>365633.10000000003</v>
      </c>
      <c r="CI85" s="251">
        <v>20700</v>
      </c>
      <c r="CJ85" s="251">
        <v>10000</v>
      </c>
      <c r="CK85" s="251">
        <v>30700</v>
      </c>
    </row>
    <row r="86" spans="84:89" ht="12.75">
      <c r="CF86" s="251">
        <v>296</v>
      </c>
      <c r="CG86" s="252" t="s">
        <v>274</v>
      </c>
      <c r="CH86" s="659">
        <v>0</v>
      </c>
      <c r="CI86" s="251">
        <v>0</v>
      </c>
      <c r="CJ86" s="251">
        <v>0</v>
      </c>
      <c r="CK86" s="251">
        <v>0</v>
      </c>
    </row>
    <row r="87" spans="84:89" ht="12.75">
      <c r="CF87" s="251">
        <v>414</v>
      </c>
      <c r="CG87" s="252" t="s">
        <v>109</v>
      </c>
      <c r="CH87" s="659">
        <v>2156.22</v>
      </c>
      <c r="CI87" s="251">
        <v>0</v>
      </c>
      <c r="CJ87" s="251">
        <v>0</v>
      </c>
      <c r="CK87" s="251">
        <v>20</v>
      </c>
    </row>
    <row r="88" spans="84:89" ht="12.75">
      <c r="CF88" s="251">
        <v>417</v>
      </c>
      <c r="CG88" s="252" t="s">
        <v>110</v>
      </c>
      <c r="CH88" s="659">
        <v>106572.817</v>
      </c>
      <c r="CI88" s="251">
        <v>48930</v>
      </c>
      <c r="CJ88" s="251">
        <v>558</v>
      </c>
      <c r="CK88" s="251">
        <v>23618</v>
      </c>
    </row>
    <row r="89" spans="84:89" ht="31.5">
      <c r="CF89" s="251">
        <v>418</v>
      </c>
      <c r="CG89" s="252" t="s">
        <v>275</v>
      </c>
      <c r="CH89" s="659">
        <v>434291.2</v>
      </c>
      <c r="CI89" s="251">
        <v>190400</v>
      </c>
      <c r="CJ89" s="251">
        <v>143100</v>
      </c>
      <c r="CK89" s="251">
        <v>333500</v>
      </c>
    </row>
    <row r="90" spans="84:89" ht="12.75">
      <c r="CF90" s="251">
        <v>428</v>
      </c>
      <c r="CG90" s="252" t="s">
        <v>111</v>
      </c>
      <c r="CH90" s="659">
        <v>43084.198000000004</v>
      </c>
      <c r="CI90" s="251">
        <v>16940</v>
      </c>
      <c r="CJ90" s="251">
        <v>18000</v>
      </c>
      <c r="CK90" s="251">
        <v>34940</v>
      </c>
    </row>
    <row r="91" spans="84:89" ht="12.75">
      <c r="CF91" s="251">
        <v>422</v>
      </c>
      <c r="CG91" s="252" t="s">
        <v>112</v>
      </c>
      <c r="CH91" s="659">
        <v>6907.45</v>
      </c>
      <c r="CI91" s="251">
        <v>4800</v>
      </c>
      <c r="CJ91" s="251">
        <v>0</v>
      </c>
      <c r="CK91" s="251">
        <v>4503</v>
      </c>
    </row>
    <row r="92" spans="84:89" ht="12.75">
      <c r="CF92" s="251">
        <v>426</v>
      </c>
      <c r="CG92" s="252" t="s">
        <v>113</v>
      </c>
      <c r="CH92" s="659">
        <v>23923.68</v>
      </c>
      <c r="CI92" s="251">
        <v>5230</v>
      </c>
      <c r="CJ92" s="251">
        <v>0</v>
      </c>
      <c r="CK92" s="251">
        <v>3022</v>
      </c>
    </row>
    <row r="93" spans="84:89" ht="12.75">
      <c r="CF93" s="251">
        <v>430</v>
      </c>
      <c r="CG93" s="252" t="s">
        <v>114</v>
      </c>
      <c r="CH93" s="659">
        <v>266285.67</v>
      </c>
      <c r="CI93" s="251">
        <v>200000</v>
      </c>
      <c r="CJ93" s="251">
        <v>32000</v>
      </c>
      <c r="CK93" s="251">
        <v>232000</v>
      </c>
    </row>
    <row r="94" spans="84:89" ht="12.75">
      <c r="CF94" s="251">
        <v>434</v>
      </c>
      <c r="CG94" s="252" t="s">
        <v>276</v>
      </c>
      <c r="CH94" s="659">
        <v>98534.23999999999</v>
      </c>
      <c r="CI94" s="251">
        <v>700</v>
      </c>
      <c r="CJ94" s="251">
        <v>0</v>
      </c>
      <c r="CK94" s="251">
        <v>700</v>
      </c>
    </row>
    <row r="95" spans="84:89" ht="12.75">
      <c r="CF95" s="251">
        <v>438</v>
      </c>
      <c r="CG95" s="252" t="s">
        <v>277</v>
      </c>
      <c r="CH95" s="659">
        <v>0</v>
      </c>
      <c r="CI95" s="251">
        <v>0</v>
      </c>
      <c r="CJ95" s="251">
        <v>0</v>
      </c>
      <c r="CK95" s="251">
        <v>0</v>
      </c>
    </row>
    <row r="96" spans="84:89" ht="12.75">
      <c r="CF96" s="251">
        <v>440</v>
      </c>
      <c r="CG96" s="252" t="s">
        <v>115</v>
      </c>
      <c r="CH96" s="659">
        <v>42830.240000000005</v>
      </c>
      <c r="CI96" s="251">
        <v>15460</v>
      </c>
      <c r="CJ96" s="251">
        <v>9040</v>
      </c>
      <c r="CK96" s="251">
        <v>24500</v>
      </c>
    </row>
    <row r="97" spans="84:89" ht="12.75">
      <c r="CF97" s="251">
        <v>450</v>
      </c>
      <c r="CG97" s="252" t="s">
        <v>116</v>
      </c>
      <c r="CH97" s="659">
        <v>888577.335</v>
      </c>
      <c r="CI97" s="251">
        <v>337000</v>
      </c>
      <c r="CJ97" s="251">
        <v>0</v>
      </c>
      <c r="CK97" s="251">
        <v>337000</v>
      </c>
    </row>
    <row r="98" spans="84:89" ht="12.75">
      <c r="CF98" s="251">
        <v>454</v>
      </c>
      <c r="CG98" s="252" t="s">
        <v>117</v>
      </c>
      <c r="CH98" s="659">
        <v>139924.88</v>
      </c>
      <c r="CI98" s="251">
        <v>16140</v>
      </c>
      <c r="CJ98" s="251">
        <v>1000</v>
      </c>
      <c r="CK98" s="251">
        <v>17280</v>
      </c>
    </row>
    <row r="99" spans="84:89" ht="12.75">
      <c r="CF99" s="251">
        <v>458</v>
      </c>
      <c r="CG99" s="252" t="s">
        <v>118</v>
      </c>
      <c r="CH99" s="659">
        <v>951050</v>
      </c>
      <c r="CI99" s="251">
        <v>580000</v>
      </c>
      <c r="CJ99" s="251">
        <v>0</v>
      </c>
      <c r="CK99" s="251">
        <v>580000</v>
      </c>
    </row>
    <row r="100" spans="84:89" ht="12.75">
      <c r="CF100" s="251">
        <v>462</v>
      </c>
      <c r="CG100" s="252" t="s">
        <v>119</v>
      </c>
      <c r="CH100" s="659">
        <v>591.6</v>
      </c>
      <c r="CI100" s="251">
        <v>30</v>
      </c>
      <c r="CJ100" s="251">
        <v>0</v>
      </c>
      <c r="CK100" s="251">
        <v>30</v>
      </c>
    </row>
    <row r="101" spans="84:89" ht="12.75">
      <c r="CF101" s="251">
        <v>466</v>
      </c>
      <c r="CG101" s="252" t="s">
        <v>120</v>
      </c>
      <c r="CH101" s="659">
        <v>349733.58</v>
      </c>
      <c r="CI101" s="251">
        <v>60000</v>
      </c>
      <c r="CJ101" s="251">
        <v>60000</v>
      </c>
      <c r="CK101" s="251">
        <v>120000</v>
      </c>
    </row>
    <row r="102" spans="84:89" ht="12.75">
      <c r="CF102" s="251">
        <v>470</v>
      </c>
      <c r="CG102" s="252" t="s">
        <v>121</v>
      </c>
      <c r="CH102" s="659">
        <v>179.2</v>
      </c>
      <c r="CI102" s="251">
        <v>50.5</v>
      </c>
      <c r="CJ102" s="251">
        <v>0</v>
      </c>
      <c r="CK102" s="251">
        <v>50.5</v>
      </c>
    </row>
    <row r="103" spans="84:89" ht="21">
      <c r="CF103" s="251">
        <v>584</v>
      </c>
      <c r="CG103" s="252" t="s">
        <v>278</v>
      </c>
      <c r="CH103" s="659">
        <v>0</v>
      </c>
      <c r="CI103" s="251">
        <v>0</v>
      </c>
      <c r="CJ103" s="251">
        <v>0</v>
      </c>
      <c r="CK103" s="251">
        <v>0</v>
      </c>
    </row>
    <row r="104" spans="84:89" ht="12.75">
      <c r="CF104" s="251">
        <v>474</v>
      </c>
      <c r="CG104" s="252" t="s">
        <v>122</v>
      </c>
      <c r="CH104" s="659">
        <v>0</v>
      </c>
      <c r="CI104" s="251">
        <v>0</v>
      </c>
      <c r="CJ104" s="251">
        <v>0</v>
      </c>
      <c r="CK104" s="251">
        <v>0</v>
      </c>
    </row>
    <row r="105" spans="84:89" ht="12.75">
      <c r="CF105" s="251">
        <v>478</v>
      </c>
      <c r="CG105" s="252" t="s">
        <v>123</v>
      </c>
      <c r="CH105" s="659">
        <v>94824.4</v>
      </c>
      <c r="CI105" s="251">
        <v>400</v>
      </c>
      <c r="CJ105" s="251">
        <v>0</v>
      </c>
      <c r="CK105" s="251">
        <v>11400</v>
      </c>
    </row>
    <row r="106" spans="84:89" ht="12.75">
      <c r="CF106" s="251">
        <v>480</v>
      </c>
      <c r="CG106" s="252" t="s">
        <v>124</v>
      </c>
      <c r="CH106" s="659">
        <v>4163.64</v>
      </c>
      <c r="CI106" s="251">
        <v>2751</v>
      </c>
      <c r="CJ106" s="251">
        <v>0</v>
      </c>
      <c r="CK106" s="251">
        <v>2751</v>
      </c>
    </row>
    <row r="107" spans="84:89" ht="31.5">
      <c r="CF107" s="251">
        <v>583</v>
      </c>
      <c r="CG107" s="252" t="s">
        <v>279</v>
      </c>
      <c r="CH107" s="659">
        <v>0</v>
      </c>
      <c r="CI107" s="251">
        <v>0</v>
      </c>
      <c r="CJ107" s="251">
        <v>0</v>
      </c>
      <c r="CK107" s="251">
        <v>0</v>
      </c>
    </row>
    <row r="108" spans="84:89" ht="12.75">
      <c r="CF108" s="251">
        <v>492</v>
      </c>
      <c r="CG108" s="252" t="s">
        <v>280</v>
      </c>
      <c r="CH108" s="659">
        <v>0</v>
      </c>
      <c r="CI108" s="251">
        <v>0</v>
      </c>
      <c r="CJ108" s="251">
        <v>0</v>
      </c>
      <c r="CK108" s="251">
        <v>0</v>
      </c>
    </row>
    <row r="109" spans="84:89" ht="12.75">
      <c r="CF109" s="251">
        <v>496</v>
      </c>
      <c r="CG109" s="252" t="s">
        <v>125</v>
      </c>
      <c r="CH109" s="659">
        <v>376951.956</v>
      </c>
      <c r="CI109" s="251">
        <v>34800</v>
      </c>
      <c r="CJ109" s="251">
        <v>0</v>
      </c>
      <c r="CK109" s="251">
        <v>34800</v>
      </c>
    </row>
    <row r="110" spans="84:89" ht="12.75">
      <c r="CF110" s="251">
        <v>499</v>
      </c>
      <c r="CG110" s="252" t="s">
        <v>281</v>
      </c>
      <c r="CH110" s="659">
        <v>0</v>
      </c>
      <c r="CI110" s="251">
        <v>0</v>
      </c>
      <c r="CJ110" s="251">
        <v>0</v>
      </c>
      <c r="CK110" s="251">
        <v>0</v>
      </c>
    </row>
    <row r="111" spans="84:89" ht="12.75">
      <c r="CF111" s="251">
        <v>504</v>
      </c>
      <c r="CG111" s="252" t="s">
        <v>126</v>
      </c>
      <c r="CH111" s="659">
        <v>154506.30000000002</v>
      </c>
      <c r="CI111" s="251">
        <v>29000</v>
      </c>
      <c r="CJ111" s="251">
        <v>0</v>
      </c>
      <c r="CK111" s="251">
        <v>29000</v>
      </c>
    </row>
    <row r="112" spans="84:89" ht="12.75">
      <c r="CF112" s="251">
        <v>508</v>
      </c>
      <c r="CG112" s="252" t="s">
        <v>127</v>
      </c>
      <c r="CH112" s="659">
        <v>824960.1599999999</v>
      </c>
      <c r="CI112" s="251">
        <v>100300</v>
      </c>
      <c r="CJ112" s="251">
        <v>116800</v>
      </c>
      <c r="CK112" s="251">
        <v>217100</v>
      </c>
    </row>
    <row r="113" spans="84:89" ht="12.75">
      <c r="CF113" s="251">
        <v>104</v>
      </c>
      <c r="CG113" s="252" t="s">
        <v>128</v>
      </c>
      <c r="CH113" s="659">
        <v>1414854.24</v>
      </c>
      <c r="CI113" s="251">
        <v>1002800</v>
      </c>
      <c r="CJ113" s="251">
        <v>128199.99999999999</v>
      </c>
      <c r="CK113" s="251">
        <v>1167800</v>
      </c>
    </row>
    <row r="114" spans="84:89" ht="12.75">
      <c r="CF114" s="251">
        <v>516</v>
      </c>
      <c r="CG114" s="252" t="s">
        <v>129</v>
      </c>
      <c r="CH114" s="659">
        <v>234922.65</v>
      </c>
      <c r="CI114" s="251">
        <v>6160</v>
      </c>
      <c r="CJ114" s="251">
        <v>11000</v>
      </c>
      <c r="CK114" s="251">
        <v>39910</v>
      </c>
    </row>
    <row r="115" spans="84:89" ht="12.75">
      <c r="CF115" s="251">
        <v>520</v>
      </c>
      <c r="CG115" s="252" t="s">
        <v>282</v>
      </c>
      <c r="CH115" s="659">
        <v>0</v>
      </c>
      <c r="CI115" s="251">
        <v>10</v>
      </c>
      <c r="CJ115" s="251">
        <v>0</v>
      </c>
      <c r="CK115" s="251">
        <v>10</v>
      </c>
    </row>
    <row r="116" spans="84:89" ht="12.75">
      <c r="CF116" s="251">
        <v>524</v>
      </c>
      <c r="CG116" s="252" t="s">
        <v>130</v>
      </c>
      <c r="CH116" s="659">
        <v>220770</v>
      </c>
      <c r="CI116" s="251">
        <v>198200</v>
      </c>
      <c r="CJ116" s="251">
        <v>12000</v>
      </c>
      <c r="CK116" s="251">
        <v>210200</v>
      </c>
    </row>
    <row r="117" spans="84:89" ht="21">
      <c r="CF117" s="251">
        <v>540</v>
      </c>
      <c r="CG117" s="252" t="s">
        <v>131</v>
      </c>
      <c r="CH117" s="659">
        <v>0</v>
      </c>
      <c r="CI117" s="251">
        <v>0</v>
      </c>
      <c r="CJ117" s="251">
        <v>0</v>
      </c>
      <c r="CK117" s="251">
        <v>0</v>
      </c>
    </row>
    <row r="118" spans="84:89" ht="12.75">
      <c r="CF118" s="251">
        <v>558</v>
      </c>
      <c r="CG118" s="252" t="s">
        <v>132</v>
      </c>
      <c r="CH118" s="659">
        <v>297243.60000000003</v>
      </c>
      <c r="CI118" s="251">
        <v>156210</v>
      </c>
      <c r="CJ118" s="251">
        <v>8310</v>
      </c>
      <c r="CK118" s="251">
        <v>164520</v>
      </c>
    </row>
    <row r="119" spans="84:89" ht="12.75">
      <c r="CF119" s="251">
        <v>562</v>
      </c>
      <c r="CG119" s="252" t="s">
        <v>133</v>
      </c>
      <c r="CH119" s="659">
        <v>191317</v>
      </c>
      <c r="CI119" s="251">
        <v>3500</v>
      </c>
      <c r="CJ119" s="251">
        <v>29200</v>
      </c>
      <c r="CK119" s="251">
        <v>34050</v>
      </c>
    </row>
    <row r="120" spans="84:89" ht="12.75">
      <c r="CF120" s="251">
        <v>566</v>
      </c>
      <c r="CG120" s="252" t="s">
        <v>134</v>
      </c>
      <c r="CH120" s="659">
        <v>1062335.5</v>
      </c>
      <c r="CI120" s="251">
        <v>221000</v>
      </c>
      <c r="CJ120" s="251">
        <v>65200</v>
      </c>
      <c r="CK120" s="251">
        <v>286200</v>
      </c>
    </row>
    <row r="121" spans="84:89" ht="12.75">
      <c r="CF121" s="251">
        <v>570</v>
      </c>
      <c r="CG121" s="252" t="s">
        <v>563</v>
      </c>
      <c r="CH121" s="659">
        <v>0</v>
      </c>
      <c r="CI121" s="251">
        <v>0</v>
      </c>
      <c r="CJ121" s="251">
        <v>0</v>
      </c>
      <c r="CK121" s="251">
        <v>0</v>
      </c>
    </row>
    <row r="122" spans="84:89" ht="21">
      <c r="CF122" s="251">
        <v>275</v>
      </c>
      <c r="CG122" s="252" t="s">
        <v>564</v>
      </c>
      <c r="CH122" s="659">
        <v>2420.04</v>
      </c>
      <c r="CI122" s="251">
        <v>812</v>
      </c>
      <c r="CJ122" s="251">
        <v>15</v>
      </c>
      <c r="CK122" s="251">
        <v>837</v>
      </c>
    </row>
    <row r="123" spans="84:89" ht="12.75">
      <c r="CF123" s="251">
        <v>512</v>
      </c>
      <c r="CG123" s="252" t="s">
        <v>135</v>
      </c>
      <c r="CH123" s="659">
        <v>38687.5</v>
      </c>
      <c r="CI123" s="251">
        <v>1400</v>
      </c>
      <c r="CJ123" s="251">
        <v>0</v>
      </c>
      <c r="CK123" s="251">
        <v>1400</v>
      </c>
    </row>
    <row r="124" spans="84:89" ht="12.75">
      <c r="CF124" s="251">
        <v>586</v>
      </c>
      <c r="CG124" s="252" t="s">
        <v>136</v>
      </c>
      <c r="CH124" s="659">
        <v>393273.39999999997</v>
      </c>
      <c r="CI124" s="251">
        <v>55000</v>
      </c>
      <c r="CJ124" s="251">
        <v>265100</v>
      </c>
      <c r="CK124" s="251">
        <v>246800</v>
      </c>
    </row>
    <row r="125" spans="84:89" ht="22.5" customHeight="1">
      <c r="CF125" s="251">
        <v>585</v>
      </c>
      <c r="CG125" s="252" t="s">
        <v>283</v>
      </c>
      <c r="CH125" s="659">
        <v>0</v>
      </c>
      <c r="CI125" s="251">
        <v>0</v>
      </c>
      <c r="CJ125" s="251">
        <v>0</v>
      </c>
      <c r="CK125" s="251">
        <v>0</v>
      </c>
    </row>
    <row r="126" spans="84:89" ht="12.75">
      <c r="CF126" s="251">
        <v>591</v>
      </c>
      <c r="CG126" s="252" t="s">
        <v>137</v>
      </c>
      <c r="CH126" s="659">
        <v>220536.96</v>
      </c>
      <c r="CI126" s="251">
        <v>136600</v>
      </c>
      <c r="CJ126" s="251">
        <v>0</v>
      </c>
      <c r="CK126" s="251">
        <v>139304</v>
      </c>
    </row>
    <row r="127" spans="84:89" ht="21">
      <c r="CF127" s="251">
        <v>598</v>
      </c>
      <c r="CG127" s="252" t="s">
        <v>138</v>
      </c>
      <c r="CH127" s="659">
        <v>1454243.28</v>
      </c>
      <c r="CI127" s="251">
        <v>801000</v>
      </c>
      <c r="CJ127" s="251">
        <v>0</v>
      </c>
      <c r="CK127" s="251">
        <v>801000</v>
      </c>
    </row>
    <row r="128" spans="84:89" ht="12.75">
      <c r="CF128" s="251">
        <v>600</v>
      </c>
      <c r="CG128" s="252" t="s">
        <v>139</v>
      </c>
      <c r="CH128" s="659">
        <v>459629.75999999995</v>
      </c>
      <c r="CI128" s="251">
        <v>117000</v>
      </c>
      <c r="CJ128" s="251">
        <v>73270</v>
      </c>
      <c r="CK128" s="251">
        <v>387770</v>
      </c>
    </row>
    <row r="129" spans="84:89" ht="12.75">
      <c r="CF129" s="251">
        <v>604</v>
      </c>
      <c r="CG129" s="252" t="s">
        <v>140</v>
      </c>
      <c r="CH129" s="659">
        <v>2233712.36</v>
      </c>
      <c r="CI129" s="251">
        <v>1641000</v>
      </c>
      <c r="CJ129" s="251">
        <v>128800.00000000001</v>
      </c>
      <c r="CK129" s="251">
        <v>1879800</v>
      </c>
    </row>
    <row r="130" spans="84:89" ht="12.75">
      <c r="CF130" s="251">
        <v>608</v>
      </c>
      <c r="CG130" s="252" t="s">
        <v>141</v>
      </c>
      <c r="CH130" s="659">
        <v>704400</v>
      </c>
      <c r="CI130" s="251">
        <v>479000</v>
      </c>
      <c r="CJ130" s="251">
        <v>0</v>
      </c>
      <c r="CK130" s="251">
        <v>479000</v>
      </c>
    </row>
    <row r="131" spans="84:89" ht="12.75">
      <c r="CF131" s="251">
        <v>630</v>
      </c>
      <c r="CG131" s="252" t="s">
        <v>142</v>
      </c>
      <c r="CH131" s="659">
        <v>18218.98</v>
      </c>
      <c r="CI131" s="251">
        <v>7100</v>
      </c>
      <c r="CJ131" s="251">
        <v>0</v>
      </c>
      <c r="CK131" s="251">
        <v>7100</v>
      </c>
    </row>
    <row r="132" spans="84:89" ht="12.75">
      <c r="CF132" s="251">
        <v>634</v>
      </c>
      <c r="CG132" s="252" t="s">
        <v>143</v>
      </c>
      <c r="CH132" s="659">
        <v>850.26</v>
      </c>
      <c r="CI132" s="251">
        <v>56</v>
      </c>
      <c r="CJ132" s="251">
        <v>0</v>
      </c>
      <c r="CK132" s="251">
        <v>58</v>
      </c>
    </row>
    <row r="133" spans="84:89" ht="21">
      <c r="CF133" s="251">
        <v>498</v>
      </c>
      <c r="CG133" s="252" t="s">
        <v>144</v>
      </c>
      <c r="CH133" s="659">
        <v>15232.5</v>
      </c>
      <c r="CI133" s="251">
        <v>1620</v>
      </c>
      <c r="CJ133" s="251">
        <v>9200</v>
      </c>
      <c r="CK133" s="251">
        <v>12270</v>
      </c>
    </row>
    <row r="134" spans="84:89" ht="12.75">
      <c r="CF134" s="251">
        <v>638</v>
      </c>
      <c r="CG134" s="252" t="s">
        <v>145</v>
      </c>
      <c r="CH134" s="659">
        <v>0</v>
      </c>
      <c r="CI134" s="251">
        <v>0</v>
      </c>
      <c r="CJ134" s="251">
        <v>0</v>
      </c>
      <c r="CK134" s="251">
        <v>0</v>
      </c>
    </row>
    <row r="135" spans="84:89" ht="12.75">
      <c r="CF135" s="251">
        <v>642</v>
      </c>
      <c r="CG135" s="252" t="s">
        <v>146</v>
      </c>
      <c r="CH135" s="659">
        <v>151860.80000000002</v>
      </c>
      <c r="CI135" s="251">
        <v>42380</v>
      </c>
      <c r="CJ135" s="251">
        <v>168100</v>
      </c>
      <c r="CK135" s="251">
        <v>212010</v>
      </c>
    </row>
    <row r="136" spans="84:89" ht="21">
      <c r="CF136" s="251">
        <v>643</v>
      </c>
      <c r="CG136" s="252" t="s">
        <v>149</v>
      </c>
      <c r="CH136" s="659">
        <v>7865195</v>
      </c>
      <c r="CI136" s="251">
        <v>4312000</v>
      </c>
      <c r="CJ136" s="251">
        <v>204600</v>
      </c>
      <c r="CK136" s="251">
        <v>4525445</v>
      </c>
    </row>
    <row r="137" spans="84:89" ht="12.75">
      <c r="CF137" s="251">
        <v>646</v>
      </c>
      <c r="CG137" s="252" t="s">
        <v>150</v>
      </c>
      <c r="CH137" s="659">
        <v>31924.08</v>
      </c>
      <c r="CI137" s="251">
        <v>9500</v>
      </c>
      <c r="CJ137" s="251">
        <v>3800</v>
      </c>
      <c r="CK137" s="251">
        <v>13300</v>
      </c>
    </row>
    <row r="138" spans="84:89" ht="12.75">
      <c r="CF138" s="251">
        <v>654</v>
      </c>
      <c r="CG138" s="252" t="s">
        <v>151</v>
      </c>
      <c r="CH138" s="659">
        <v>0</v>
      </c>
      <c r="CI138" s="251">
        <v>0</v>
      </c>
      <c r="CJ138" s="251">
        <v>0</v>
      </c>
      <c r="CK138" s="251">
        <v>0</v>
      </c>
    </row>
    <row r="139" spans="84:89" ht="21">
      <c r="CF139" s="251">
        <v>659</v>
      </c>
      <c r="CG139" s="252" t="s">
        <v>152</v>
      </c>
      <c r="CH139" s="659">
        <v>371.02000000000004</v>
      </c>
      <c r="CI139" s="251">
        <v>24</v>
      </c>
      <c r="CJ139" s="251">
        <v>0</v>
      </c>
      <c r="CK139" s="251">
        <v>24</v>
      </c>
    </row>
    <row r="140" spans="84:89" ht="12.75">
      <c r="CF140" s="251">
        <v>662</v>
      </c>
      <c r="CG140" s="252" t="s">
        <v>153</v>
      </c>
      <c r="CH140" s="659">
        <v>1426.62</v>
      </c>
      <c r="CI140" s="251">
        <v>300</v>
      </c>
      <c r="CJ140" s="251">
        <v>0</v>
      </c>
      <c r="CK140" s="251">
        <v>300</v>
      </c>
    </row>
    <row r="141" spans="84:89" ht="31.5">
      <c r="CF141" s="251">
        <v>670</v>
      </c>
      <c r="CG141" s="252" t="s">
        <v>284</v>
      </c>
      <c r="CH141" s="659">
        <v>617.37</v>
      </c>
      <c r="CI141" s="251">
        <v>100</v>
      </c>
      <c r="CJ141" s="251">
        <v>0</v>
      </c>
      <c r="CK141" s="251">
        <v>100</v>
      </c>
    </row>
    <row r="142" spans="84:89" ht="12.75">
      <c r="CF142" s="251">
        <v>882</v>
      </c>
      <c r="CG142" s="252" t="s">
        <v>154</v>
      </c>
      <c r="CH142" s="659">
        <v>8179.2</v>
      </c>
      <c r="CI142" s="251">
        <v>2180</v>
      </c>
      <c r="CJ142" s="251">
        <v>0</v>
      </c>
      <c r="CK142" s="251">
        <v>0</v>
      </c>
    </row>
    <row r="143" spans="84:89" ht="12.75">
      <c r="CF143" s="251">
        <v>674</v>
      </c>
      <c r="CG143" s="252" t="s">
        <v>285</v>
      </c>
      <c r="CH143" s="659">
        <v>0</v>
      </c>
      <c r="CI143" s="251">
        <v>0</v>
      </c>
      <c r="CJ143" s="251">
        <v>0</v>
      </c>
      <c r="CK143" s="251">
        <v>0</v>
      </c>
    </row>
    <row r="144" spans="84:89" ht="21">
      <c r="CF144" s="251">
        <v>678</v>
      </c>
      <c r="CG144" s="252" t="s">
        <v>155</v>
      </c>
      <c r="CH144" s="659">
        <v>3072</v>
      </c>
      <c r="CI144" s="251">
        <v>0</v>
      </c>
      <c r="CJ144" s="251">
        <v>0</v>
      </c>
      <c r="CK144" s="251">
        <v>2180</v>
      </c>
    </row>
    <row r="145" spans="84:89" ht="12.75">
      <c r="CF145" s="251">
        <v>682</v>
      </c>
      <c r="CG145" s="252" t="s">
        <v>156</v>
      </c>
      <c r="CH145" s="659">
        <v>126831.71</v>
      </c>
      <c r="CI145" s="251">
        <v>2400</v>
      </c>
      <c r="CJ145" s="251">
        <v>0</v>
      </c>
      <c r="CK145" s="251">
        <v>2400</v>
      </c>
    </row>
    <row r="146" spans="84:89" ht="12.75">
      <c r="CF146" s="251">
        <v>686</v>
      </c>
      <c r="CG146" s="252" t="s">
        <v>157</v>
      </c>
      <c r="CH146" s="659">
        <v>134943.06</v>
      </c>
      <c r="CI146" s="251">
        <v>25800</v>
      </c>
      <c r="CJ146" s="251">
        <v>2170</v>
      </c>
      <c r="CK146" s="251">
        <v>38970</v>
      </c>
    </row>
    <row r="147" spans="84:89" ht="12.75">
      <c r="CF147" s="251">
        <v>891</v>
      </c>
      <c r="CG147" s="252" t="s">
        <v>286</v>
      </c>
      <c r="CH147" s="659">
        <v>49980</v>
      </c>
      <c r="CI147" s="251">
        <v>8407</v>
      </c>
      <c r="CJ147" s="251">
        <v>0</v>
      </c>
      <c r="CK147" s="251">
        <v>162200</v>
      </c>
    </row>
    <row r="148" spans="84:89" ht="12.75">
      <c r="CF148" s="251">
        <v>690</v>
      </c>
      <c r="CG148" s="252" t="s">
        <v>158</v>
      </c>
      <c r="CH148" s="659">
        <v>1071.8000000000002</v>
      </c>
      <c r="CI148" s="251">
        <v>0</v>
      </c>
      <c r="CJ148" s="251">
        <v>0</v>
      </c>
      <c r="CK148" s="251">
        <v>0</v>
      </c>
    </row>
    <row r="149" spans="84:89" ht="12.75">
      <c r="CF149" s="251">
        <v>694</v>
      </c>
      <c r="CG149" s="252" t="s">
        <v>159</v>
      </c>
      <c r="CH149" s="659">
        <v>182629.8</v>
      </c>
      <c r="CI149" s="251">
        <v>160000</v>
      </c>
      <c r="CJ149" s="251">
        <v>0</v>
      </c>
      <c r="CK149" s="251">
        <v>160000</v>
      </c>
    </row>
    <row r="150" spans="84:89" ht="12.75">
      <c r="CF150" s="251">
        <v>702</v>
      </c>
      <c r="CG150" s="252" t="s">
        <v>160</v>
      </c>
      <c r="CH150" s="659">
        <v>1807.828</v>
      </c>
      <c r="CI150" s="251">
        <v>600</v>
      </c>
      <c r="CJ150" s="251">
        <v>0</v>
      </c>
      <c r="CK150" s="251">
        <v>600</v>
      </c>
    </row>
    <row r="151" spans="84:89" ht="12.75">
      <c r="CF151" s="251">
        <v>703</v>
      </c>
      <c r="CG151" s="252" t="s">
        <v>161</v>
      </c>
      <c r="CH151" s="659">
        <v>40400.72</v>
      </c>
      <c r="CI151" s="251">
        <v>12600</v>
      </c>
      <c r="CJ151" s="251">
        <v>0</v>
      </c>
      <c r="CK151" s="251">
        <v>50100</v>
      </c>
    </row>
    <row r="152" spans="84:89" ht="21">
      <c r="CF152" s="251">
        <v>90</v>
      </c>
      <c r="CG152" s="252" t="s">
        <v>162</v>
      </c>
      <c r="CH152" s="659">
        <v>87509.20000000001</v>
      </c>
      <c r="CI152" s="251">
        <v>44700</v>
      </c>
      <c r="CJ152" s="251">
        <v>0</v>
      </c>
      <c r="CK152" s="251">
        <v>44700</v>
      </c>
    </row>
    <row r="153" spans="84:89" ht="25.5" customHeight="1">
      <c r="CF153" s="251">
        <v>706</v>
      </c>
      <c r="CG153" s="252" t="s">
        <v>163</v>
      </c>
      <c r="CH153" s="659">
        <v>179820.12</v>
      </c>
      <c r="CI153" s="251">
        <v>6000</v>
      </c>
      <c r="CJ153" s="251">
        <v>8700</v>
      </c>
      <c r="CK153" s="251">
        <v>14700</v>
      </c>
    </row>
    <row r="154" spans="84:89" ht="12.75">
      <c r="CF154" s="251">
        <v>710</v>
      </c>
      <c r="CG154" s="252" t="s">
        <v>164</v>
      </c>
      <c r="CH154" s="659">
        <v>603449.55</v>
      </c>
      <c r="CI154" s="251">
        <v>44800</v>
      </c>
      <c r="CJ154" s="251">
        <v>6600</v>
      </c>
      <c r="CK154" s="251">
        <v>51350</v>
      </c>
    </row>
    <row r="155" spans="84:89" ht="12.75">
      <c r="CF155" s="251">
        <v>728</v>
      </c>
      <c r="CG155" s="252" t="s">
        <v>565</v>
      </c>
      <c r="CH155" s="659">
        <v>570515.9184000001</v>
      </c>
      <c r="CI155" s="251">
        <v>26000</v>
      </c>
      <c r="CJ155" s="251">
        <v>50000</v>
      </c>
      <c r="CK155" s="251">
        <v>49500</v>
      </c>
    </row>
    <row r="156" spans="84:89" ht="12.75">
      <c r="CF156" s="328">
        <v>144</v>
      </c>
      <c r="CG156" s="252" t="s">
        <v>165</v>
      </c>
      <c r="CH156" s="659">
        <v>112324.32</v>
      </c>
      <c r="CI156" s="251">
        <v>52800</v>
      </c>
      <c r="CJ156" s="251">
        <v>0</v>
      </c>
      <c r="CK156" s="251">
        <v>52800</v>
      </c>
    </row>
    <row r="157" spans="84:89" ht="12.75">
      <c r="CF157" s="251">
        <v>729</v>
      </c>
      <c r="CG157" s="252" t="s">
        <v>566</v>
      </c>
      <c r="CH157" s="659">
        <v>463526.35125</v>
      </c>
      <c r="CI157" s="251">
        <v>4000</v>
      </c>
      <c r="CJ157" s="251">
        <v>99300</v>
      </c>
      <c r="CK157" s="251">
        <v>37800</v>
      </c>
    </row>
    <row r="158" spans="84:89" ht="12.75">
      <c r="CF158" s="251">
        <v>740</v>
      </c>
      <c r="CG158" s="252" t="s">
        <v>166</v>
      </c>
      <c r="CH158" s="659">
        <v>381864.42</v>
      </c>
      <c r="CI158" s="251">
        <v>99000</v>
      </c>
      <c r="CJ158" s="251">
        <v>0</v>
      </c>
      <c r="CK158" s="251">
        <v>99000</v>
      </c>
    </row>
    <row r="159" spans="84:89" ht="12.75">
      <c r="CF159" s="251">
        <v>748</v>
      </c>
      <c r="CG159" s="252" t="s">
        <v>167</v>
      </c>
      <c r="CH159" s="659">
        <v>13679.68</v>
      </c>
      <c r="CI159" s="251">
        <v>2640</v>
      </c>
      <c r="CJ159" s="251">
        <v>1870</v>
      </c>
      <c r="CK159" s="251">
        <v>4510</v>
      </c>
    </row>
    <row r="160" spans="84:89" ht="21">
      <c r="CF160" s="251">
        <v>760</v>
      </c>
      <c r="CG160" s="252" t="s">
        <v>170</v>
      </c>
      <c r="CH160" s="659">
        <v>46665.36</v>
      </c>
      <c r="CI160" s="251">
        <v>7132</v>
      </c>
      <c r="CJ160" s="251">
        <v>28520</v>
      </c>
      <c r="CK160" s="251">
        <v>16802</v>
      </c>
    </row>
    <row r="161" spans="84:89" ht="12.75">
      <c r="CF161" s="251">
        <v>762</v>
      </c>
      <c r="CG161" s="252" t="s">
        <v>171</v>
      </c>
      <c r="CH161" s="659">
        <v>97693.58</v>
      </c>
      <c r="CI161" s="251">
        <v>63460</v>
      </c>
      <c r="CJ161" s="251">
        <v>34190</v>
      </c>
      <c r="CK161" s="251">
        <v>21910</v>
      </c>
    </row>
    <row r="162" spans="84:89" ht="12.75">
      <c r="CF162" s="251">
        <v>764</v>
      </c>
      <c r="CG162" s="252" t="s">
        <v>172</v>
      </c>
      <c r="CH162" s="659">
        <v>832280.6399999999</v>
      </c>
      <c r="CI162" s="251">
        <v>224510</v>
      </c>
      <c r="CJ162" s="251">
        <v>0</v>
      </c>
      <c r="CK162" s="251">
        <v>438610</v>
      </c>
    </row>
    <row r="163" spans="84:89" ht="42">
      <c r="CF163" s="251">
        <v>807</v>
      </c>
      <c r="CG163" s="252" t="s">
        <v>287</v>
      </c>
      <c r="CH163" s="659">
        <v>15914.490000000002</v>
      </c>
      <c r="CI163" s="251">
        <v>5400</v>
      </c>
      <c r="CJ163" s="251">
        <v>1000</v>
      </c>
      <c r="CK163" s="251">
        <v>6400</v>
      </c>
    </row>
    <row r="164" spans="84:89" ht="12.75">
      <c r="CF164" s="251">
        <v>626</v>
      </c>
      <c r="CG164" s="252" t="s">
        <v>288</v>
      </c>
      <c r="CH164" s="659">
        <v>22305</v>
      </c>
      <c r="CI164" s="251">
        <v>8215</v>
      </c>
      <c r="CJ164" s="251">
        <v>0</v>
      </c>
      <c r="CK164" s="251">
        <v>8215</v>
      </c>
    </row>
    <row r="165" spans="84:89" ht="12.75">
      <c r="CF165" s="328">
        <v>768</v>
      </c>
      <c r="CG165" s="252" t="s">
        <v>173</v>
      </c>
      <c r="CH165" s="659">
        <v>66330.72</v>
      </c>
      <c r="CI165" s="251">
        <v>11500</v>
      </c>
      <c r="CJ165" s="251">
        <v>3200</v>
      </c>
      <c r="CK165" s="251">
        <v>14700</v>
      </c>
    </row>
    <row r="166" spans="84:89" ht="12.75">
      <c r="CF166" s="251">
        <v>772</v>
      </c>
      <c r="CG166" s="252" t="s">
        <v>567</v>
      </c>
      <c r="CH166" s="659">
        <v>0</v>
      </c>
      <c r="CI166" s="251">
        <v>0</v>
      </c>
      <c r="CJ166" s="251">
        <v>0</v>
      </c>
      <c r="CK166" s="251">
        <v>0</v>
      </c>
    </row>
    <row r="167" spans="84:89" ht="12.75">
      <c r="CF167" s="251">
        <v>776</v>
      </c>
      <c r="CG167" s="252" t="s">
        <v>174</v>
      </c>
      <c r="CH167" s="659">
        <v>0</v>
      </c>
      <c r="CI167" s="251">
        <v>0</v>
      </c>
      <c r="CJ167" s="251">
        <v>0</v>
      </c>
      <c r="CK167" s="251">
        <v>0</v>
      </c>
    </row>
    <row r="168" spans="84:89" ht="21">
      <c r="CF168" s="251">
        <v>780</v>
      </c>
      <c r="CG168" s="252" t="s">
        <v>175</v>
      </c>
      <c r="CH168" s="659">
        <v>11286</v>
      </c>
      <c r="CI168" s="251">
        <v>3840</v>
      </c>
      <c r="CJ168" s="251">
        <v>0</v>
      </c>
      <c r="CK168" s="251">
        <v>3840</v>
      </c>
    </row>
    <row r="169" spans="84:89" ht="12.75">
      <c r="CF169" s="251">
        <v>788</v>
      </c>
      <c r="CG169" s="252" t="s">
        <v>176</v>
      </c>
      <c r="CH169" s="659">
        <v>33867.27</v>
      </c>
      <c r="CI169" s="251">
        <v>4195</v>
      </c>
      <c r="CJ169" s="251">
        <v>320</v>
      </c>
      <c r="CK169" s="251">
        <v>4615</v>
      </c>
    </row>
    <row r="170" spans="84:89" ht="12.75">
      <c r="CF170" s="251">
        <v>795</v>
      </c>
      <c r="CG170" s="252" t="s">
        <v>178</v>
      </c>
      <c r="CH170" s="659">
        <v>78584.1</v>
      </c>
      <c r="CI170" s="251">
        <v>1405</v>
      </c>
      <c r="CJ170" s="251">
        <v>80200</v>
      </c>
      <c r="CK170" s="251">
        <v>24765</v>
      </c>
    </row>
    <row r="171" spans="84:89" ht="12.75">
      <c r="CF171" s="251">
        <v>798</v>
      </c>
      <c r="CG171" s="252" t="s">
        <v>289</v>
      </c>
      <c r="CH171" s="659">
        <v>0</v>
      </c>
      <c r="CI171" s="251">
        <v>0</v>
      </c>
      <c r="CJ171" s="251">
        <v>0</v>
      </c>
      <c r="CK171" s="251">
        <v>0</v>
      </c>
    </row>
    <row r="172" spans="84:89" ht="12.75">
      <c r="CF172" s="251">
        <v>800</v>
      </c>
      <c r="CG172" s="252" t="s">
        <v>179</v>
      </c>
      <c r="CH172" s="659">
        <v>285029</v>
      </c>
      <c r="CI172" s="251">
        <v>39000</v>
      </c>
      <c r="CJ172" s="251">
        <v>21100</v>
      </c>
      <c r="CK172" s="251">
        <v>60100</v>
      </c>
    </row>
    <row r="173" spans="84:89" ht="12.75">
      <c r="CF173" s="251">
        <v>804</v>
      </c>
      <c r="CG173" s="252" t="s">
        <v>180</v>
      </c>
      <c r="CH173" s="659">
        <v>341005.75</v>
      </c>
      <c r="CI173" s="251">
        <v>55100</v>
      </c>
      <c r="CJ173" s="251">
        <v>36130</v>
      </c>
      <c r="CK173" s="251">
        <v>175280</v>
      </c>
    </row>
    <row r="174" spans="84:89" ht="21">
      <c r="CF174" s="251">
        <v>784</v>
      </c>
      <c r="CG174" s="252" t="s">
        <v>181</v>
      </c>
      <c r="CH174" s="659">
        <v>5553.76653</v>
      </c>
      <c r="CI174" s="251">
        <v>150</v>
      </c>
      <c r="CJ174" s="251">
        <v>0</v>
      </c>
      <c r="CK174" s="251">
        <v>150</v>
      </c>
    </row>
    <row r="175" spans="84:89" ht="31.5">
      <c r="CF175" s="251">
        <v>834</v>
      </c>
      <c r="CG175" s="252" t="s">
        <v>290</v>
      </c>
      <c r="CH175" s="659">
        <v>1014558.3</v>
      </c>
      <c r="CI175" s="251">
        <v>84000</v>
      </c>
      <c r="CJ175" s="251">
        <v>12270</v>
      </c>
      <c r="CK175" s="251">
        <v>96270</v>
      </c>
    </row>
    <row r="176" spans="84:89" ht="25.5" customHeight="1">
      <c r="CF176" s="251">
        <v>858</v>
      </c>
      <c r="CG176" s="252" t="s">
        <v>184</v>
      </c>
      <c r="CH176" s="659">
        <v>229086</v>
      </c>
      <c r="CI176" s="251">
        <v>92200</v>
      </c>
      <c r="CJ176" s="251">
        <v>5000</v>
      </c>
      <c r="CK176" s="251">
        <v>172200</v>
      </c>
    </row>
    <row r="177" spans="84:89" ht="12.75">
      <c r="CF177" s="251">
        <v>860</v>
      </c>
      <c r="CG177" s="252" t="s">
        <v>185</v>
      </c>
      <c r="CH177" s="659">
        <v>92478.34400000001</v>
      </c>
      <c r="CI177" s="251">
        <v>16340</v>
      </c>
      <c r="CJ177" s="251">
        <v>102200</v>
      </c>
      <c r="CK177" s="251">
        <v>48870</v>
      </c>
    </row>
    <row r="178" spans="84:89" ht="12.75">
      <c r="CF178" s="251">
        <v>548</v>
      </c>
      <c r="CG178" s="252" t="s">
        <v>292</v>
      </c>
      <c r="CH178" s="659">
        <v>24380</v>
      </c>
      <c r="CI178" s="251">
        <v>10000</v>
      </c>
      <c r="CJ178" s="251">
        <v>0</v>
      </c>
      <c r="CK178" s="251">
        <v>10000</v>
      </c>
    </row>
    <row r="179" spans="84:89" ht="38.25" customHeight="1">
      <c r="CF179" s="251">
        <v>862</v>
      </c>
      <c r="CG179" s="252" t="s">
        <v>293</v>
      </c>
      <c r="CH179" s="659">
        <v>1864230.2</v>
      </c>
      <c r="CI179" s="251">
        <v>805000</v>
      </c>
      <c r="CJ179" s="251">
        <v>495000</v>
      </c>
      <c r="CK179" s="251">
        <v>1325000</v>
      </c>
    </row>
    <row r="180" spans="84:89" ht="12.75">
      <c r="CF180" s="251">
        <v>704</v>
      </c>
      <c r="CG180" s="252" t="s">
        <v>186</v>
      </c>
      <c r="CH180" s="659">
        <v>603169.8300000001</v>
      </c>
      <c r="CI180" s="251">
        <v>359420</v>
      </c>
      <c r="CJ180" s="251">
        <v>524700</v>
      </c>
      <c r="CK180" s="251">
        <v>884120</v>
      </c>
    </row>
    <row r="181" spans="84:89" ht="12.75">
      <c r="CF181" s="251">
        <v>887</v>
      </c>
      <c r="CG181" s="252" t="s">
        <v>187</v>
      </c>
      <c r="CH181" s="659">
        <v>88170.99</v>
      </c>
      <c r="CI181" s="251">
        <v>2100</v>
      </c>
      <c r="CJ181" s="251">
        <v>0</v>
      </c>
      <c r="CK181" s="251">
        <v>2100</v>
      </c>
    </row>
    <row r="182" spans="84:89" ht="12.75">
      <c r="CF182" s="251">
        <v>894</v>
      </c>
      <c r="CG182" s="252" t="s">
        <v>188</v>
      </c>
      <c r="CH182" s="659">
        <v>767662.2</v>
      </c>
      <c r="CI182" s="251">
        <v>80200</v>
      </c>
      <c r="CJ182" s="251">
        <v>24600</v>
      </c>
      <c r="CK182" s="251">
        <v>104800</v>
      </c>
    </row>
    <row r="183" spans="84:89" ht="12.75">
      <c r="CF183" s="251">
        <v>716</v>
      </c>
      <c r="CG183" s="252" t="s">
        <v>189</v>
      </c>
      <c r="CH183" s="659">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21">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42">
      <c r="CF190" s="251">
        <v>807</v>
      </c>
      <c r="CG190" s="252" t="s">
        <v>287</v>
      </c>
      <c r="CH190" s="251">
        <v>15910</v>
      </c>
      <c r="CI190" s="251">
        <v>5400</v>
      </c>
      <c r="CJ190" s="251">
        <v>1000</v>
      </c>
      <c r="CK190" s="251">
        <v>6400</v>
      </c>
    </row>
    <row r="191" spans="84:89" ht="12.7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21">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12.7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21">
      <c r="CF201" s="251">
        <v>784</v>
      </c>
      <c r="CG201" s="252" t="s">
        <v>181</v>
      </c>
      <c r="CH201" s="251">
        <v>6521</v>
      </c>
      <c r="CI201" s="251">
        <v>150</v>
      </c>
      <c r="CJ201" s="251">
        <v>0</v>
      </c>
      <c r="CK201" s="251">
        <v>150</v>
      </c>
    </row>
    <row r="202" spans="84:89" ht="21">
      <c r="CF202" s="251">
        <v>826</v>
      </c>
      <c r="CG202" s="252" t="s">
        <v>182</v>
      </c>
      <c r="CH202" s="251">
        <v>297200</v>
      </c>
      <c r="CI202" s="251">
        <v>145000</v>
      </c>
      <c r="CJ202" s="251">
        <v>2000</v>
      </c>
      <c r="CK202" s="251">
        <v>147000</v>
      </c>
    </row>
    <row r="203" spans="84:89" ht="31.5">
      <c r="CF203" s="251">
        <v>834</v>
      </c>
      <c r="CG203" s="252" t="s">
        <v>290</v>
      </c>
      <c r="CH203" s="251">
        <v>1015000</v>
      </c>
      <c r="CI203" s="251">
        <v>84000</v>
      </c>
      <c r="CJ203" s="251">
        <v>12270</v>
      </c>
      <c r="CK203" s="251">
        <v>96270</v>
      </c>
    </row>
    <row r="204" spans="84:89" ht="21">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31.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sheet="1" formatCells="0" formatColumns="0" formatRows="0" insertColumns="0" insertRows="0" insertHyperlinks="0"/>
  <mergeCells count="40">
    <mergeCell ref="D47:AZ47"/>
    <mergeCell ref="D50:AZ50"/>
    <mergeCell ref="V31:AA31"/>
    <mergeCell ref="D44:AZ44"/>
    <mergeCell ref="D45:AZ45"/>
    <mergeCell ref="D36:AZ36"/>
    <mergeCell ref="D46:AZ46"/>
    <mergeCell ref="D35:AZ35"/>
    <mergeCell ref="D39:AZ39"/>
    <mergeCell ref="D41:AZ41"/>
    <mergeCell ref="D42:AZ42"/>
    <mergeCell ref="D40:AZ40"/>
    <mergeCell ref="D53:AZ53"/>
    <mergeCell ref="D48:AZ48"/>
    <mergeCell ref="D49:AZ49"/>
    <mergeCell ref="C58:AO59"/>
    <mergeCell ref="D54:AZ54"/>
    <mergeCell ref="D55:AZ55"/>
    <mergeCell ref="D56:AZ56"/>
    <mergeCell ref="D57:AZ57"/>
    <mergeCell ref="D51:AZ51"/>
    <mergeCell ref="D52:AZ52"/>
    <mergeCell ref="D24:AZ24"/>
    <mergeCell ref="F26:I26"/>
    <mergeCell ref="M26:Q26"/>
    <mergeCell ref="H28:O28"/>
    <mergeCell ref="D43:AZ43"/>
    <mergeCell ref="V29:AA29"/>
    <mergeCell ref="D37:AZ37"/>
    <mergeCell ref="D38:AZ38"/>
    <mergeCell ref="F30:I30"/>
    <mergeCell ref="M30:P30"/>
    <mergeCell ref="CF5:CI5"/>
    <mergeCell ref="AB6:AJ6"/>
    <mergeCell ref="C4:AZ4"/>
    <mergeCell ref="D22:AZ22"/>
    <mergeCell ref="D23:AZ23"/>
    <mergeCell ref="C5:AT5"/>
    <mergeCell ref="D20:AZ20"/>
    <mergeCell ref="D21:AZ2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60" zoomScaleNormal="60" zoomScaleSheetLayoutView="55" workbookViewId="0" topLeftCell="C1">
      <selection activeCell="F8" sqref="F8"/>
    </sheetView>
  </sheetViews>
  <sheetFormatPr defaultColWidth="9.16015625" defaultRowHeight="12.75"/>
  <cols>
    <col min="1" max="1" width="8" style="225" hidden="1" customWidth="1"/>
    <col min="2" max="2" width="10.6601562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1" customWidth="1"/>
    <col min="53" max="53" width="18.66015625" style="651" customWidth="1"/>
    <col min="54" max="54" width="5" style="651" customWidth="1"/>
    <col min="55" max="55" width="4.33203125" style="651" customWidth="1"/>
    <col min="56" max="56" width="1.3359375" style="651" customWidth="1"/>
    <col min="57" max="57" width="5.16015625" style="651" customWidth="1"/>
    <col min="58" max="58" width="1.171875" style="651" customWidth="1"/>
    <col min="59" max="59" width="5.16015625" style="651" customWidth="1"/>
    <col min="60" max="60" width="0.82421875" style="651" customWidth="1"/>
    <col min="61" max="61" width="5.16015625" style="651" customWidth="1"/>
    <col min="62" max="62" width="0.82421875" style="651" customWidth="1"/>
    <col min="63" max="63" width="5.16015625" style="651" customWidth="1"/>
    <col min="64" max="64" width="0.82421875" style="651" customWidth="1"/>
    <col min="65" max="65" width="5.16015625" style="651" customWidth="1"/>
    <col min="66" max="66" width="0.82421875" style="651" customWidth="1"/>
    <col min="67" max="67" width="5.16015625" style="651" customWidth="1"/>
    <col min="68" max="68" width="0.82421875" style="651" customWidth="1"/>
    <col min="69" max="69" width="5.16015625" style="651" customWidth="1"/>
    <col min="70" max="70" width="0.82421875" style="651" customWidth="1"/>
    <col min="71" max="71" width="5.16015625" style="651" customWidth="1"/>
    <col min="72" max="72" width="0.82421875" style="651" customWidth="1"/>
    <col min="73" max="73" width="5.16015625" style="651" customWidth="1"/>
    <col min="74" max="74" width="0.82421875" style="651" customWidth="1"/>
    <col min="75" max="75" width="5.16015625" style="651" customWidth="1"/>
    <col min="76" max="76" width="0.82421875" style="651" customWidth="1"/>
    <col min="77" max="77" width="5.16015625" style="651" customWidth="1"/>
    <col min="78" max="78" width="0.82421875" style="651" customWidth="1"/>
    <col min="79" max="79" width="5.16015625" style="651" customWidth="1"/>
    <col min="80" max="80" width="0.82421875" style="651" customWidth="1"/>
    <col min="81" max="81" width="5.16015625" style="651" customWidth="1"/>
    <col min="82" max="82" width="0.82421875" style="651" customWidth="1"/>
    <col min="83" max="83" width="5.16015625" style="651" customWidth="1"/>
    <col min="84" max="84" width="0.82421875" style="651" customWidth="1"/>
    <col min="85" max="85" width="5.16015625" style="651" customWidth="1"/>
    <col min="86" max="86" width="0.82421875" style="651" customWidth="1"/>
    <col min="87" max="87" width="5.16015625" style="651" customWidth="1"/>
    <col min="88" max="88" width="0.82421875" style="651" customWidth="1"/>
    <col min="89" max="89" width="5.16015625" style="651" customWidth="1"/>
    <col min="90" max="90" width="0.82421875" style="651" customWidth="1"/>
    <col min="91" max="91" width="5.16015625" style="651" customWidth="1"/>
    <col min="92" max="92" width="0.82421875" style="651" customWidth="1"/>
    <col min="93" max="93" width="5.16015625" style="651" customWidth="1"/>
    <col min="94" max="94" width="0.82421875" style="651" customWidth="1"/>
    <col min="95" max="95" width="5.16015625" style="651" customWidth="1"/>
    <col min="96" max="96" width="0.82421875" style="651" customWidth="1"/>
    <col min="97" max="97" width="5.16015625" style="651" customWidth="1"/>
    <col min="98" max="98" width="0.82421875" style="651"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275</v>
      </c>
      <c r="C3" s="354" t="s">
        <v>320</v>
      </c>
      <c r="D3" s="570" t="s">
        <v>564</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921" t="s">
        <v>9</v>
      </c>
      <c r="D5" s="921"/>
      <c r="E5" s="922"/>
      <c r="F5" s="922"/>
      <c r="G5" s="922"/>
      <c r="H5" s="923"/>
      <c r="I5" s="923"/>
      <c r="J5" s="923"/>
      <c r="K5" s="923"/>
      <c r="L5" s="923"/>
      <c r="M5" s="923"/>
      <c r="N5" s="923"/>
      <c r="O5" s="923"/>
      <c r="P5" s="923"/>
      <c r="Q5" s="923"/>
      <c r="R5" s="923"/>
      <c r="S5" s="923"/>
      <c r="T5" s="923"/>
      <c r="U5" s="923"/>
      <c r="V5" s="923"/>
      <c r="W5" s="922"/>
      <c r="X5" s="923"/>
      <c r="Y5" s="922"/>
      <c r="Z5" s="923"/>
      <c r="AA5" s="922"/>
      <c r="AB5" s="923"/>
      <c r="AC5" s="922"/>
      <c r="AD5" s="923"/>
      <c r="AE5" s="922"/>
      <c r="AF5" s="923"/>
      <c r="AG5" s="922"/>
      <c r="AH5" s="923"/>
      <c r="AI5" s="923"/>
      <c r="AJ5" s="923"/>
      <c r="AK5" s="922"/>
      <c r="AL5" s="923"/>
      <c r="AM5" s="922"/>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1:99" s="387" customFormat="1" ht="21" customHeight="1">
      <c r="A8" s="246"/>
      <c r="B8" s="383">
        <v>24</v>
      </c>
      <c r="C8" s="384">
        <v>1</v>
      </c>
      <c r="D8" s="385" t="s">
        <v>418</v>
      </c>
      <c r="E8" s="386" t="s">
        <v>327</v>
      </c>
      <c r="F8" s="561"/>
      <c r="G8" s="586"/>
      <c r="H8" s="561"/>
      <c r="I8" s="586"/>
      <c r="J8" s="561"/>
      <c r="K8" s="586"/>
      <c r="L8" s="561"/>
      <c r="M8" s="586"/>
      <c r="N8" s="561"/>
      <c r="O8" s="586"/>
      <c r="P8" s="561"/>
      <c r="Q8" s="586"/>
      <c r="R8" s="561"/>
      <c r="S8" s="586"/>
      <c r="T8" s="561"/>
      <c r="U8" s="586"/>
      <c r="V8" s="561"/>
      <c r="W8" s="586"/>
      <c r="X8" s="561"/>
      <c r="Y8" s="586"/>
      <c r="Z8" s="561"/>
      <c r="AA8" s="586"/>
      <c r="AB8" s="561"/>
      <c r="AC8" s="586"/>
      <c r="AD8" s="561"/>
      <c r="AE8" s="586"/>
      <c r="AF8" s="561"/>
      <c r="AG8" s="586"/>
      <c r="AH8" s="561"/>
      <c r="AI8" s="586"/>
      <c r="AJ8" s="561"/>
      <c r="AK8" s="586"/>
      <c r="AL8" s="561"/>
      <c r="AM8" s="586"/>
      <c r="AN8" s="561"/>
      <c r="AO8" s="586"/>
      <c r="AP8" s="561"/>
      <c r="AQ8" s="586"/>
      <c r="AR8" s="561"/>
      <c r="AS8" s="586"/>
      <c r="AT8" s="561"/>
      <c r="AU8" s="586"/>
      <c r="AV8" s="561"/>
      <c r="AW8" s="586"/>
      <c r="AY8" s="388"/>
      <c r="AZ8" s="738">
        <v>1</v>
      </c>
      <c r="BA8" s="739" t="s">
        <v>258</v>
      </c>
      <c r="BB8" s="738" t="s">
        <v>245</v>
      </c>
      <c r="BC8" s="666" t="s">
        <v>249</v>
      </c>
      <c r="BD8" s="665"/>
      <c r="BE8" s="666" t="str">
        <f>IF(OR(ISBLANK(F8),ISBLANK(H8)),"N/A",IF(ABS((H8-F8)/F8)&gt;0.25,"&gt; 25%","ok"))</f>
        <v>N/A</v>
      </c>
      <c r="BF8" s="665"/>
      <c r="BG8" s="666" t="str">
        <f>IF(OR(ISBLANK(H8),ISBLANK(J8)),"N/A",IF(ABS((J8-H8)/H8)&gt;0.25,"&gt; 25%","ok"))</f>
        <v>N/A</v>
      </c>
      <c r="BH8" s="666"/>
      <c r="BI8" s="666" t="str">
        <f aca="true" t="shared" si="0" ref="BI8:BI40">IF(OR(ISBLANK(J8),ISBLANK(L8)),"N/A",IF(ABS((L8-J8)/J8)&gt;0.25,"&gt; 25%","ok"))</f>
        <v>N/A</v>
      </c>
      <c r="BJ8" s="666"/>
      <c r="BK8" s="666" t="str">
        <f aca="true" t="shared" si="1" ref="BK8:BK40">IF(OR(ISBLANK(L8),ISBLANK(N8)),"N/A",IF(ABS((N8-L8)/L8)&gt;0.25,"&gt; 25%","ok"))</f>
        <v>N/A</v>
      </c>
      <c r="BL8" s="666"/>
      <c r="BM8" s="666" t="str">
        <f aca="true" t="shared" si="2" ref="BM8:BM40">IF(OR(ISBLANK(N8),ISBLANK(P8)),"N/A",IF(ABS((P8-N8)/N8)&gt;0.25,"&gt; 25%","ok"))</f>
        <v>N/A</v>
      </c>
      <c r="BN8" s="666"/>
      <c r="BO8" s="666" t="str">
        <f aca="true" t="shared" si="3" ref="BO8:BO40">IF(OR(ISBLANK(P8),ISBLANK(R8)),"N/A",IF(ABS((R8-P8)/P8)&gt;0.25,"&gt; 25%","ok"))</f>
        <v>N/A</v>
      </c>
      <c r="BP8" s="666"/>
      <c r="BQ8" s="666" t="str">
        <f aca="true" t="shared" si="4" ref="BQ8:BQ40">IF(OR(ISBLANK(R8),ISBLANK(T8)),"N/A",IF(ABS((T8-R8)/R8)&gt;0.25,"&gt; 25%","ok"))</f>
        <v>N/A</v>
      </c>
      <c r="BR8" s="666"/>
      <c r="BS8" s="666" t="str">
        <f aca="true" t="shared" si="5" ref="BS8:BS40">IF(OR(ISBLANK(T8),ISBLANK(V8)),"N/A",IF(ABS((V8-T8)/T8)&gt;0.25,"&gt; 25%","ok"))</f>
        <v>N/A</v>
      </c>
      <c r="BT8" s="666"/>
      <c r="BU8" s="666" t="str">
        <f aca="true" t="shared" si="6" ref="BU8:BU40">IF(OR(ISBLANK(V8),ISBLANK(X8)),"N/A",IF(ABS((X8-V8)/V8)&gt;0.25,"&gt; 25%","ok"))</f>
        <v>N/A</v>
      </c>
      <c r="BV8" s="666"/>
      <c r="BW8" s="666" t="str">
        <f aca="true" t="shared" si="7" ref="BW8:BW40">IF(OR(ISBLANK(X8),ISBLANK(Z8)),"N/A",IF(ABS((Z8-X8)/X8)&gt;0.25,"&gt; 25%","ok"))</f>
        <v>N/A</v>
      </c>
      <c r="BX8" s="666"/>
      <c r="BY8" s="666" t="str">
        <f aca="true" t="shared" si="8" ref="BY8:BY40">IF(OR(ISBLANK(Z8),ISBLANK(AB8)),"N/A",IF(ABS((AB8-Z8)/Z8)&gt;0.25,"&gt; 25%","ok"))</f>
        <v>N/A</v>
      </c>
      <c r="BZ8" s="666"/>
      <c r="CA8" s="666" t="str">
        <f aca="true" t="shared" si="9" ref="CA8:CA40">IF(OR(ISBLANK(AB8),ISBLANK(AD8)),"N/A",IF(ABS((AD8-AB8)/AB8)&gt;0.25,"&gt; 25%","ok"))</f>
        <v>N/A</v>
      </c>
      <c r="CB8" s="666"/>
      <c r="CC8" s="666" t="str">
        <f aca="true" t="shared" si="10" ref="CC8:CC40">IF(OR(ISBLANK(AD8),ISBLANK(AF8)),"N/A",IF(ABS((AF8-AD8)/AD8)&gt;0.25,"&gt; 25%","ok"))</f>
        <v>N/A</v>
      </c>
      <c r="CD8" s="666"/>
      <c r="CE8" s="666" t="str">
        <f aca="true" t="shared" si="11" ref="CE8:CE40">IF(OR(ISBLANK(AF8),ISBLANK(AH8)),"N/A",IF(ABS((AH8-AF8)/AF8)&gt;0.25,"&gt; 25%","ok"))</f>
        <v>N/A</v>
      </c>
      <c r="CF8" s="666"/>
      <c r="CG8" s="666" t="str">
        <f aca="true" t="shared" si="12" ref="CG8:CG40">IF(OR(ISBLANK(AH8),ISBLANK(AJ8)),"N/A",IF(ABS((AJ8-AH8)/AH8)&gt;0.25,"&gt; 25%","ok"))</f>
        <v>N/A</v>
      </c>
      <c r="CH8" s="666"/>
      <c r="CI8" s="666" t="str">
        <f>IF(OR(ISBLANK(AJ8),ISBLANK(AL8)),"N/A",IF(ABS((AL8-AJ8)/AJ8)&gt;0.25,"&gt; 25%","ok"))</f>
        <v>N/A</v>
      </c>
      <c r="CJ8" s="666"/>
      <c r="CK8" s="666" t="str">
        <f>IF(OR(ISBLANK(AL8),ISBLANK(AN8)),"N/A",IF(ABS((AN8-AL8)/AL8)&gt;0.25,"&gt; 25%","ok"))</f>
        <v>N/A</v>
      </c>
      <c r="CL8" s="666"/>
      <c r="CM8" s="666" t="str">
        <f>IF(OR(ISBLANK(AN8),ISBLANK(AP8)),"N/A",IF(ABS((AP8-AN8)/AN8)&gt;0.25,"&gt; 25%","ok"))</f>
        <v>N/A</v>
      </c>
      <c r="CN8" s="666"/>
      <c r="CO8" s="666" t="str">
        <f>IF(OR(ISBLANK(AP8),ISBLANK(AR8)),"N/A",IF(ABS((AR8-AP8)/AP8)&gt;0.25,"&gt; 25%","ok"))</f>
        <v>N/A</v>
      </c>
      <c r="CP8" s="666"/>
      <c r="CQ8" s="666" t="str">
        <f>IF(OR(ISBLANK(AR8),ISBLANK(AT8)),"N/A",IF(ABS((AT8-AR8)/AR8)&gt;0.25,"&gt; 25%","ok"))</f>
        <v>N/A</v>
      </c>
      <c r="CR8" s="666"/>
      <c r="CS8" s="666" t="str">
        <f>IF(OR(ISBLANK(AT8),ISBLANK(AV8)),"N/A",IF(ABS((AV8-AT8)/AT8)&gt;0.25,"&gt; 25%","ok"))</f>
        <v>N/A</v>
      </c>
      <c r="CT8" s="58"/>
      <c r="CU8" s="58"/>
    </row>
    <row r="9" spans="1:99" s="387" customFormat="1" ht="21" customHeight="1">
      <c r="A9" s="246"/>
      <c r="B9" s="383">
        <v>25</v>
      </c>
      <c r="C9" s="389">
        <v>2</v>
      </c>
      <c r="D9" s="385" t="s">
        <v>419</v>
      </c>
      <c r="E9" s="386" t="s">
        <v>327</v>
      </c>
      <c r="F9" s="561"/>
      <c r="G9" s="586"/>
      <c r="H9" s="561">
        <v>207</v>
      </c>
      <c r="I9" s="586"/>
      <c r="J9" s="561">
        <v>241</v>
      </c>
      <c r="K9" s="586"/>
      <c r="L9" s="561"/>
      <c r="M9" s="586"/>
      <c r="N9" s="561">
        <v>249</v>
      </c>
      <c r="O9" s="586"/>
      <c r="P9" s="561">
        <v>268</v>
      </c>
      <c r="Q9" s="586"/>
      <c r="R9" s="561">
        <v>275.200012207031</v>
      </c>
      <c r="S9" s="586"/>
      <c r="T9" s="561">
        <v>286</v>
      </c>
      <c r="U9" s="586"/>
      <c r="V9" s="561">
        <v>250.899993896484</v>
      </c>
      <c r="W9" s="586"/>
      <c r="X9" s="561">
        <v>257.799987792969</v>
      </c>
      <c r="Y9" s="586"/>
      <c r="Z9" s="561">
        <v>270.799987792969</v>
      </c>
      <c r="AA9" s="586"/>
      <c r="AB9" s="561">
        <v>266.899993896484</v>
      </c>
      <c r="AC9" s="586"/>
      <c r="AD9" s="561">
        <v>292.600006103516</v>
      </c>
      <c r="AE9" s="586"/>
      <c r="AF9" s="561">
        <v>302.399993896484</v>
      </c>
      <c r="AG9" s="586"/>
      <c r="AH9" s="561">
        <v>274.5</v>
      </c>
      <c r="AI9" s="586"/>
      <c r="AJ9" s="561">
        <v>291.200012207031</v>
      </c>
      <c r="AK9" s="586"/>
      <c r="AL9" s="561">
        <v>280.6</v>
      </c>
      <c r="AM9" s="586"/>
      <c r="AN9" s="561">
        <v>288</v>
      </c>
      <c r="AO9" s="586"/>
      <c r="AP9" s="561">
        <v>299.7</v>
      </c>
      <c r="AQ9" s="586"/>
      <c r="AR9" s="561">
        <v>329.6</v>
      </c>
      <c r="AS9" s="586"/>
      <c r="AT9" s="561">
        <v>352.4</v>
      </c>
      <c r="AU9" s="586"/>
      <c r="AV9" s="561">
        <v>336.6</v>
      </c>
      <c r="AW9" s="586"/>
      <c r="AY9" s="390"/>
      <c r="AZ9" s="740">
        <v>2</v>
      </c>
      <c r="BA9" s="739" t="s">
        <v>259</v>
      </c>
      <c r="BB9" s="740" t="s">
        <v>245</v>
      </c>
      <c r="BC9" s="666" t="s">
        <v>249</v>
      </c>
      <c r="BD9" s="665"/>
      <c r="BE9" s="666" t="str">
        <f>IF(OR(ISBLANK(F9),ISBLANK(H9)),"N/A",IF(ABS((H9-F9)/F9)&gt;0.25,"&gt; 25%","ok"))</f>
        <v>N/A</v>
      </c>
      <c r="BF9" s="665"/>
      <c r="BG9" s="666" t="str">
        <f aca="true" t="shared" si="13" ref="BG9:BG40">IF(OR(ISBLANK(H9),ISBLANK(J9)),"N/A",IF(ABS((J9-H9)/H9)&gt;0.25,"&gt; 25%","ok"))</f>
        <v>ok</v>
      </c>
      <c r="BH9" s="666"/>
      <c r="BI9" s="666" t="str">
        <f t="shared" si="0"/>
        <v>N/A</v>
      </c>
      <c r="BJ9" s="666"/>
      <c r="BK9" s="666" t="str">
        <f t="shared" si="1"/>
        <v>N/A</v>
      </c>
      <c r="BL9" s="666"/>
      <c r="BM9" s="666" t="str">
        <f t="shared" si="2"/>
        <v>ok</v>
      </c>
      <c r="BN9" s="666"/>
      <c r="BO9" s="666" t="str">
        <f t="shared" si="3"/>
        <v>ok</v>
      </c>
      <c r="BP9" s="666"/>
      <c r="BQ9" s="666" t="str">
        <f t="shared" si="4"/>
        <v>ok</v>
      </c>
      <c r="BR9" s="666"/>
      <c r="BS9" s="666" t="str">
        <f t="shared" si="5"/>
        <v>ok</v>
      </c>
      <c r="BT9" s="666"/>
      <c r="BU9" s="666" t="str">
        <f t="shared" si="6"/>
        <v>ok</v>
      </c>
      <c r="BV9" s="666"/>
      <c r="BW9" s="666" t="str">
        <f t="shared" si="7"/>
        <v>ok</v>
      </c>
      <c r="BX9" s="666"/>
      <c r="BY9" s="666" t="str">
        <f t="shared" si="8"/>
        <v>ok</v>
      </c>
      <c r="BZ9" s="666"/>
      <c r="CA9" s="666" t="str">
        <f t="shared" si="9"/>
        <v>ok</v>
      </c>
      <c r="CB9" s="666"/>
      <c r="CC9" s="666" t="str">
        <f t="shared" si="10"/>
        <v>ok</v>
      </c>
      <c r="CD9" s="666"/>
      <c r="CE9" s="666" t="str">
        <f t="shared" si="11"/>
        <v>ok</v>
      </c>
      <c r="CF9" s="666"/>
      <c r="CG9" s="666" t="str">
        <f t="shared" si="12"/>
        <v>ok</v>
      </c>
      <c r="CH9" s="666"/>
      <c r="CI9" s="666" t="str">
        <f>IF(OR(ISBLANK(AJ9),ISBLANK(AL9)),"N/A",IF(ABS((AL9-AJ9)/AJ9)&gt;0.25,"&gt; 25%","ok"))</f>
        <v>ok</v>
      </c>
      <c r="CJ9" s="666"/>
      <c r="CK9" s="666" t="str">
        <f>IF(OR(ISBLANK(AL9),ISBLANK(AN9)),"N/A",IF(ABS((AN9-AL9)/AL9)&gt;0.25,"&gt; 25%","ok"))</f>
        <v>ok</v>
      </c>
      <c r="CL9" s="666"/>
      <c r="CM9" s="666" t="str">
        <f>IF(OR(ISBLANK(AN9),ISBLANK(AP9)),"N/A",IF(ABS((AP9-AN9)/AN9)&gt;0.25,"&gt; 25%","ok"))</f>
        <v>ok</v>
      </c>
      <c r="CN9" s="666"/>
      <c r="CO9" s="666" t="str">
        <f>IF(OR(ISBLANK(AP9),ISBLANK(AR9)),"N/A",IF(ABS((AR9-AP9)/AP9)&gt;0.25,"&gt; 25%","ok"))</f>
        <v>ok</v>
      </c>
      <c r="CP9" s="666"/>
      <c r="CQ9" s="666" t="str">
        <f>IF(OR(ISBLANK(AR9),ISBLANK(AT9)),"N/A",IF(ABS((AT9-AR9)/AR9)&gt;0.25,"&gt; 25%","ok"))</f>
        <v>ok</v>
      </c>
      <c r="CR9" s="666"/>
      <c r="CS9" s="666" t="str">
        <f>IF(OR(ISBLANK(AT9),ISBLANK(AV9)),"N/A",IF(ABS((AV9-AT9)/AT9)&gt;0.25,"&gt; 25%","ok"))</f>
        <v>ok</v>
      </c>
      <c r="CT9" s="58"/>
      <c r="CU9" s="58"/>
    </row>
    <row r="10" spans="1:99" s="395" customFormat="1" ht="21" customHeight="1">
      <c r="A10" s="391" t="s">
        <v>239</v>
      </c>
      <c r="B10" s="392">
        <v>5001</v>
      </c>
      <c r="C10" s="393">
        <v>3</v>
      </c>
      <c r="D10" s="394" t="s">
        <v>686</v>
      </c>
      <c r="E10" s="386" t="s">
        <v>327</v>
      </c>
      <c r="F10" s="555"/>
      <c r="G10" s="580"/>
      <c r="H10" s="555">
        <v>207</v>
      </c>
      <c r="I10" s="580"/>
      <c r="J10" s="555">
        <v>241</v>
      </c>
      <c r="K10" s="580"/>
      <c r="L10" s="555"/>
      <c r="M10" s="580"/>
      <c r="N10" s="555">
        <v>249</v>
      </c>
      <c r="O10" s="580"/>
      <c r="P10" s="555">
        <v>268</v>
      </c>
      <c r="Q10" s="580"/>
      <c r="R10" s="555">
        <v>275.200012207031</v>
      </c>
      <c r="S10" s="580"/>
      <c r="T10" s="555">
        <v>286</v>
      </c>
      <c r="U10" s="580"/>
      <c r="V10" s="555">
        <v>250.899993896484</v>
      </c>
      <c r="W10" s="580"/>
      <c r="X10" s="555">
        <v>257.799987792969</v>
      </c>
      <c r="Y10" s="580"/>
      <c r="Z10" s="555">
        <v>270.799987792969</v>
      </c>
      <c r="AA10" s="580"/>
      <c r="AB10" s="555">
        <v>266.899993896484</v>
      </c>
      <c r="AC10" s="580"/>
      <c r="AD10" s="555">
        <v>292.600006103516</v>
      </c>
      <c r="AE10" s="580"/>
      <c r="AF10" s="555">
        <v>302.399993896484</v>
      </c>
      <c r="AG10" s="580"/>
      <c r="AH10" s="555">
        <v>274.5</v>
      </c>
      <c r="AI10" s="580"/>
      <c r="AJ10" s="555">
        <v>291.200012207031</v>
      </c>
      <c r="AK10" s="580"/>
      <c r="AL10" s="555">
        <v>280.6</v>
      </c>
      <c r="AM10" s="580"/>
      <c r="AN10" s="555">
        <v>288</v>
      </c>
      <c r="AO10" s="580"/>
      <c r="AP10" s="555">
        <v>299.7</v>
      </c>
      <c r="AQ10" s="580"/>
      <c r="AR10" s="555">
        <v>329.6</v>
      </c>
      <c r="AS10" s="580"/>
      <c r="AT10" s="555">
        <v>352.4</v>
      </c>
      <c r="AU10" s="580"/>
      <c r="AV10" s="555">
        <v>336.6</v>
      </c>
      <c r="AW10" s="580"/>
      <c r="AY10" s="396"/>
      <c r="AZ10" s="741">
        <v>3</v>
      </c>
      <c r="BA10" s="742" t="s">
        <v>260</v>
      </c>
      <c r="BB10" s="740" t="s">
        <v>245</v>
      </c>
      <c r="BC10" s="694" t="s">
        <v>249</v>
      </c>
      <c r="BD10" s="695"/>
      <c r="BE10" s="666" t="str">
        <f>IF(OR(ISBLANK(F10),ISBLANK(H10)),"N/A",IF(ABS((H10-F10)/F10)&gt;0.25,"&gt; 25%","ok"))</f>
        <v>N/A</v>
      </c>
      <c r="BF10" s="665"/>
      <c r="BG10" s="666" t="str">
        <f t="shared" si="13"/>
        <v>ok</v>
      </c>
      <c r="BH10" s="666"/>
      <c r="BI10" s="666" t="str">
        <f t="shared" si="0"/>
        <v>N/A</v>
      </c>
      <c r="BJ10" s="666"/>
      <c r="BK10" s="666" t="str">
        <f t="shared" si="1"/>
        <v>N/A</v>
      </c>
      <c r="BL10" s="666"/>
      <c r="BM10" s="666" t="str">
        <f t="shared" si="2"/>
        <v>ok</v>
      </c>
      <c r="BN10" s="666"/>
      <c r="BO10" s="666" t="str">
        <f t="shared" si="3"/>
        <v>ok</v>
      </c>
      <c r="BP10" s="666"/>
      <c r="BQ10" s="666" t="str">
        <f t="shared" si="4"/>
        <v>ok</v>
      </c>
      <c r="BR10" s="666"/>
      <c r="BS10" s="666" t="str">
        <f t="shared" si="5"/>
        <v>ok</v>
      </c>
      <c r="BT10" s="666"/>
      <c r="BU10" s="666" t="str">
        <f t="shared" si="6"/>
        <v>ok</v>
      </c>
      <c r="BV10" s="666"/>
      <c r="BW10" s="666" t="str">
        <f t="shared" si="7"/>
        <v>ok</v>
      </c>
      <c r="BX10" s="666"/>
      <c r="BY10" s="666" t="str">
        <f t="shared" si="8"/>
        <v>ok</v>
      </c>
      <c r="BZ10" s="666"/>
      <c r="CA10" s="666" t="str">
        <f t="shared" si="9"/>
        <v>ok</v>
      </c>
      <c r="CB10" s="666"/>
      <c r="CC10" s="666" t="str">
        <f t="shared" si="10"/>
        <v>ok</v>
      </c>
      <c r="CD10" s="666"/>
      <c r="CE10" s="666" t="str">
        <f t="shared" si="11"/>
        <v>ok</v>
      </c>
      <c r="CF10" s="666"/>
      <c r="CG10" s="666" t="str">
        <f t="shared" si="12"/>
        <v>ok</v>
      </c>
      <c r="CH10" s="666"/>
      <c r="CI10" s="666" t="str">
        <f>IF(OR(ISBLANK(AJ10),ISBLANK(AL10)),"N/A",IF(ABS((AL10-AJ10)/AJ10)&gt;0.25,"&gt; 25%","ok"))</f>
        <v>ok</v>
      </c>
      <c r="CJ10" s="666"/>
      <c r="CK10" s="666" t="str">
        <f>IF(OR(ISBLANK(AL10),ISBLANK(AN10)),"N/A",IF(ABS((AN10-AL10)/AL10)&gt;0.25,"&gt; 25%","ok"))</f>
        <v>ok</v>
      </c>
      <c r="CL10" s="666"/>
      <c r="CM10" s="666" t="str">
        <f>IF(OR(ISBLANK(AN10),ISBLANK(AP10)),"N/A",IF(ABS((AP10-AN10)/AN10)&gt;0.25,"&gt; 25%","ok"))</f>
        <v>ok</v>
      </c>
      <c r="CN10" s="666"/>
      <c r="CO10" s="666" t="str">
        <f>IF(OR(ISBLANK(AP10),ISBLANK(AR10)),"N/A",IF(ABS((AR10-AP10)/AP10)&gt;0.25,"&gt; 25%","ok"))</f>
        <v>ok</v>
      </c>
      <c r="CP10" s="666"/>
      <c r="CQ10" s="666" t="str">
        <f>IF(OR(ISBLANK(AR10),ISBLANK(AT10)),"N/A",IF(ABS((AT10-AR10)/AR10)&gt;0.25,"&gt; 25%","ok"))</f>
        <v>ok</v>
      </c>
      <c r="CR10" s="666"/>
      <c r="CS10" s="666" t="str">
        <f>IF(OR(ISBLANK(AT10),ISBLANK(AV10)),"N/A",IF(ABS((AV10-AT10)/AT10)&gt;0.25,"&gt; 25%","ok"))</f>
        <v>ok</v>
      </c>
      <c r="CT10" s="58"/>
      <c r="CU10" s="84"/>
    </row>
    <row r="11" spans="1:99" s="395" customFormat="1" ht="21" customHeight="1">
      <c r="A11" s="391"/>
      <c r="B11" s="392">
        <v>30</v>
      </c>
      <c r="C11" s="389">
        <v>4</v>
      </c>
      <c r="D11" s="385" t="s">
        <v>687</v>
      </c>
      <c r="E11" s="386" t="s">
        <v>327</v>
      </c>
      <c r="F11" s="554"/>
      <c r="G11" s="579"/>
      <c r="H11" s="554"/>
      <c r="I11" s="579"/>
      <c r="J11" s="554"/>
      <c r="K11" s="579"/>
      <c r="L11" s="554"/>
      <c r="M11" s="579"/>
      <c r="N11" s="554"/>
      <c r="O11" s="579"/>
      <c r="P11" s="554"/>
      <c r="Q11" s="579"/>
      <c r="R11" s="554"/>
      <c r="S11" s="579"/>
      <c r="T11" s="554"/>
      <c r="U11" s="579"/>
      <c r="V11" s="554"/>
      <c r="W11" s="579"/>
      <c r="X11" s="554"/>
      <c r="Y11" s="579"/>
      <c r="Z11" s="554"/>
      <c r="AA11" s="579"/>
      <c r="AB11" s="554"/>
      <c r="AC11" s="579"/>
      <c r="AD11" s="554"/>
      <c r="AE11" s="579"/>
      <c r="AF11" s="554"/>
      <c r="AG11" s="579"/>
      <c r="AH11" s="554"/>
      <c r="AI11" s="579"/>
      <c r="AJ11" s="554"/>
      <c r="AK11" s="579"/>
      <c r="AL11" s="554"/>
      <c r="AM11" s="579"/>
      <c r="AN11" s="554"/>
      <c r="AO11" s="579"/>
      <c r="AP11" s="554"/>
      <c r="AQ11" s="579"/>
      <c r="AR11" s="554"/>
      <c r="AS11" s="579"/>
      <c r="AT11" s="554"/>
      <c r="AU11" s="579"/>
      <c r="AV11" s="554"/>
      <c r="AW11" s="579"/>
      <c r="AY11" s="396"/>
      <c r="AZ11" s="741">
        <v>4</v>
      </c>
      <c r="BA11" s="742" t="s">
        <v>693</v>
      </c>
      <c r="BB11" s="740" t="s">
        <v>245</v>
      </c>
      <c r="BC11" s="694" t="s">
        <v>249</v>
      </c>
      <c r="BD11" s="695"/>
      <c r="BE11" s="666" t="str">
        <f>IF(OR(ISBLANK(F11),ISBLANK(H11)),"N/A",IF(ABS((H11-F11)/F11)&gt;0.25,"&gt; 25%","ok"))</f>
        <v>N/A</v>
      </c>
      <c r="BF11" s="665"/>
      <c r="BG11" s="666" t="str">
        <f t="shared" si="13"/>
        <v>N/A</v>
      </c>
      <c r="BH11" s="666"/>
      <c r="BI11" s="666" t="str">
        <f t="shared" si="0"/>
        <v>N/A</v>
      </c>
      <c r="BJ11" s="666"/>
      <c r="BK11" s="666" t="str">
        <f t="shared" si="1"/>
        <v>N/A</v>
      </c>
      <c r="BL11" s="666"/>
      <c r="BM11" s="666" t="str">
        <f t="shared" si="2"/>
        <v>N/A</v>
      </c>
      <c r="BN11" s="666"/>
      <c r="BO11" s="666" t="str">
        <f t="shared" si="3"/>
        <v>N/A</v>
      </c>
      <c r="BP11" s="666"/>
      <c r="BQ11" s="666" t="str">
        <f t="shared" si="4"/>
        <v>N/A</v>
      </c>
      <c r="BR11" s="666"/>
      <c r="BS11" s="666" t="str">
        <f t="shared" si="5"/>
        <v>N/A</v>
      </c>
      <c r="BT11" s="666"/>
      <c r="BU11" s="666" t="str">
        <f t="shared" si="6"/>
        <v>N/A</v>
      </c>
      <c r="BV11" s="666"/>
      <c r="BW11" s="666" t="str">
        <f t="shared" si="7"/>
        <v>N/A</v>
      </c>
      <c r="BX11" s="666"/>
      <c r="BY11" s="666" t="str">
        <f t="shared" si="8"/>
        <v>N/A</v>
      </c>
      <c r="BZ11" s="666"/>
      <c r="CA11" s="666" t="str">
        <f t="shared" si="9"/>
        <v>N/A</v>
      </c>
      <c r="CB11" s="666"/>
      <c r="CC11" s="666" t="str">
        <f t="shared" si="10"/>
        <v>N/A</v>
      </c>
      <c r="CD11" s="666"/>
      <c r="CE11" s="666" t="str">
        <f t="shared" si="11"/>
        <v>N/A</v>
      </c>
      <c r="CF11" s="666"/>
      <c r="CG11" s="666" t="str">
        <f t="shared" si="12"/>
        <v>N/A</v>
      </c>
      <c r="CH11" s="666"/>
      <c r="CI11" s="666" t="str">
        <f>IF(OR(ISBLANK(AJ11),ISBLANK(AL11)),"N/A",IF(ABS((AL11-AJ11)/AJ11)&gt;0.25,"&gt; 25%","ok"))</f>
        <v>N/A</v>
      </c>
      <c r="CJ11" s="666"/>
      <c r="CK11" s="666" t="str">
        <f>IF(OR(ISBLANK(AL11),ISBLANK(AN11)),"N/A",IF(ABS((AN11-AL11)/AL11)&gt;0.25,"&gt; 25%","ok"))</f>
        <v>N/A</v>
      </c>
      <c r="CL11" s="666"/>
      <c r="CM11" s="666" t="str">
        <f>IF(OR(ISBLANK(AN11),ISBLANK(AP11)),"N/A",IF(ABS((AP11-AN11)/AN11)&gt;0.25,"&gt; 25%","ok"))</f>
        <v>N/A</v>
      </c>
      <c r="CN11" s="666"/>
      <c r="CO11" s="666" t="str">
        <f>IF(OR(ISBLANK(AP11),ISBLANK(AR11)),"N/A",IF(ABS((AR11-AP11)/AP11)&gt;0.25,"&gt; 25%","ok"))</f>
        <v>N/A</v>
      </c>
      <c r="CP11" s="666"/>
      <c r="CQ11" s="666" t="str">
        <f>IF(OR(ISBLANK(AR11),ISBLANK(AT11)),"N/A",IF(ABS((AT11-AR11)/AR11)&gt;0.25,"&gt; 25%","ok"))</f>
        <v>N/A</v>
      </c>
      <c r="CR11" s="666"/>
      <c r="CS11" s="666" t="str">
        <f>IF(OR(ISBLANK(AT11),ISBLANK(AV11)),"N/A",IF(ABS((AV11-AT11)/AT11)&gt;0.25,"&gt; 25%","ok"))</f>
        <v>N/A</v>
      </c>
      <c r="CT11" s="58"/>
      <c r="CU11" s="84"/>
    </row>
    <row r="12" spans="1:99" s="395" customFormat="1" ht="21" customHeight="1">
      <c r="A12" s="391"/>
      <c r="B12" s="392">
        <v>31</v>
      </c>
      <c r="C12" s="393">
        <v>5</v>
      </c>
      <c r="D12" s="394" t="s">
        <v>692</v>
      </c>
      <c r="E12" s="386" t="s">
        <v>327</v>
      </c>
      <c r="F12" s="554"/>
      <c r="G12" s="579"/>
      <c r="H12" s="554"/>
      <c r="I12" s="579"/>
      <c r="J12" s="554"/>
      <c r="K12" s="579"/>
      <c r="L12" s="554"/>
      <c r="M12" s="579"/>
      <c r="N12" s="554"/>
      <c r="O12" s="579"/>
      <c r="P12" s="554"/>
      <c r="Q12" s="579"/>
      <c r="R12" s="554"/>
      <c r="S12" s="579"/>
      <c r="T12" s="554"/>
      <c r="U12" s="579"/>
      <c r="V12" s="554"/>
      <c r="W12" s="579"/>
      <c r="X12" s="554"/>
      <c r="Y12" s="579"/>
      <c r="Z12" s="554"/>
      <c r="AA12" s="579"/>
      <c r="AB12" s="554"/>
      <c r="AC12" s="579"/>
      <c r="AD12" s="554"/>
      <c r="AE12" s="579"/>
      <c r="AF12" s="554"/>
      <c r="AG12" s="579"/>
      <c r="AH12" s="554"/>
      <c r="AI12" s="579"/>
      <c r="AJ12" s="554"/>
      <c r="AK12" s="579"/>
      <c r="AL12" s="554"/>
      <c r="AM12" s="579"/>
      <c r="AN12" s="554"/>
      <c r="AO12" s="579"/>
      <c r="AP12" s="554"/>
      <c r="AQ12" s="579"/>
      <c r="AR12" s="554"/>
      <c r="AS12" s="579"/>
      <c r="AT12" s="554"/>
      <c r="AU12" s="579"/>
      <c r="AV12" s="554"/>
      <c r="AW12" s="579"/>
      <c r="AY12" s="396"/>
      <c r="AZ12" s="741">
        <v>5</v>
      </c>
      <c r="BA12" s="742" t="s">
        <v>694</v>
      </c>
      <c r="BB12" s="740" t="s">
        <v>245</v>
      </c>
      <c r="BC12" s="694" t="s">
        <v>249</v>
      </c>
      <c r="BD12" s="695"/>
      <c r="BE12" s="666" t="str">
        <f>IF(OR(ISBLANK(F12),ISBLANK(H12)),"N/A",IF(ABS((H12-F12)/F12)&gt;0.25,"&gt; 25%","ok"))</f>
        <v>N/A</v>
      </c>
      <c r="BF12" s="665"/>
      <c r="BG12" s="666" t="str">
        <f t="shared" si="13"/>
        <v>N/A</v>
      </c>
      <c r="BH12" s="666"/>
      <c r="BI12" s="666" t="str">
        <f t="shared" si="0"/>
        <v>N/A</v>
      </c>
      <c r="BJ12" s="666"/>
      <c r="BK12" s="666" t="str">
        <f t="shared" si="1"/>
        <v>N/A</v>
      </c>
      <c r="BL12" s="666"/>
      <c r="BM12" s="666" t="str">
        <f t="shared" si="2"/>
        <v>N/A</v>
      </c>
      <c r="BN12" s="666"/>
      <c r="BO12" s="666" t="str">
        <f t="shared" si="3"/>
        <v>N/A</v>
      </c>
      <c r="BP12" s="666"/>
      <c r="BQ12" s="666" t="str">
        <f t="shared" si="4"/>
        <v>N/A</v>
      </c>
      <c r="BR12" s="666"/>
      <c r="BS12" s="666" t="str">
        <f t="shared" si="5"/>
        <v>N/A</v>
      </c>
      <c r="BT12" s="666"/>
      <c r="BU12" s="666" t="str">
        <f t="shared" si="6"/>
        <v>N/A</v>
      </c>
      <c r="BV12" s="666"/>
      <c r="BW12" s="666" t="str">
        <f t="shared" si="7"/>
        <v>N/A</v>
      </c>
      <c r="BX12" s="666"/>
      <c r="BY12" s="666" t="str">
        <f t="shared" si="8"/>
        <v>N/A</v>
      </c>
      <c r="BZ12" s="666"/>
      <c r="CA12" s="666" t="str">
        <f t="shared" si="9"/>
        <v>N/A</v>
      </c>
      <c r="CB12" s="666"/>
      <c r="CC12" s="666" t="str">
        <f t="shared" si="10"/>
        <v>N/A</v>
      </c>
      <c r="CD12" s="666"/>
      <c r="CE12" s="666" t="str">
        <f t="shared" si="11"/>
        <v>N/A</v>
      </c>
      <c r="CF12" s="666"/>
      <c r="CG12" s="666" t="str">
        <f t="shared" si="12"/>
        <v>N/A</v>
      </c>
      <c r="CH12" s="666"/>
      <c r="CI12" s="666" t="str">
        <f>IF(OR(ISBLANK(AJ12),ISBLANK(AL12)),"N/A",IF(ABS((AL12-AJ12)/AJ12)&gt;0.25,"&gt; 25%","ok"))</f>
        <v>N/A</v>
      </c>
      <c r="CJ12" s="666"/>
      <c r="CK12" s="666" t="str">
        <f>IF(OR(ISBLANK(AL12),ISBLANK(AN12)),"N/A",IF(ABS((AN12-AL12)/AL12)&gt;0.25,"&gt; 25%","ok"))</f>
        <v>N/A</v>
      </c>
      <c r="CL12" s="666"/>
      <c r="CM12" s="666" t="str">
        <f>IF(OR(ISBLANK(AN12),ISBLANK(AP12)),"N/A",IF(ABS((AP12-AN12)/AN12)&gt;0.25,"&gt; 25%","ok"))</f>
        <v>N/A</v>
      </c>
      <c r="CN12" s="666"/>
      <c r="CO12" s="666" t="str">
        <f>IF(OR(ISBLANK(AP12),ISBLANK(AR12)),"N/A",IF(ABS((AR12-AP12)/AP12)&gt;0.25,"&gt; 25%","ok"))</f>
        <v>N/A</v>
      </c>
      <c r="CP12" s="666"/>
      <c r="CQ12" s="666" t="str">
        <f>IF(OR(ISBLANK(AR12),ISBLANK(AT12)),"N/A",IF(ABS((AT12-AR12)/AR12)&gt;0.25,"&gt; 25%","ok"))</f>
        <v>N/A</v>
      </c>
      <c r="CR12" s="666"/>
      <c r="CS12" s="666" t="str">
        <f>IF(OR(ISBLANK(AT12),ISBLANK(AV12)),"N/A",IF(ABS((AV12-AT12)/AT12)&gt;0.25,"&gt; 25%","ok"))</f>
        <v>N/A</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40"/>
      <c r="BA13" s="743" t="s">
        <v>147</v>
      </c>
      <c r="BB13" s="740"/>
      <c r="BC13" s="666"/>
      <c r="BD13" s="665"/>
      <c r="BE13" s="666"/>
      <c r="BF13" s="665"/>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57"/>
      <c r="CU13" s="58"/>
    </row>
    <row r="14" spans="1:99" s="398" customFormat="1" ht="21" customHeight="1">
      <c r="A14" s="225"/>
      <c r="B14" s="383">
        <v>255</v>
      </c>
      <c r="C14" s="389">
        <v>6</v>
      </c>
      <c r="D14" s="397" t="s">
        <v>345</v>
      </c>
      <c r="E14" s="386" t="s">
        <v>327</v>
      </c>
      <c r="F14" s="561"/>
      <c r="G14" s="586"/>
      <c r="H14" s="561"/>
      <c r="I14" s="586"/>
      <c r="J14" s="561"/>
      <c r="K14" s="586"/>
      <c r="L14" s="561"/>
      <c r="M14" s="586"/>
      <c r="N14" s="561"/>
      <c r="O14" s="586"/>
      <c r="P14" s="561"/>
      <c r="Q14" s="586"/>
      <c r="R14" s="561"/>
      <c r="S14" s="586"/>
      <c r="T14" s="561"/>
      <c r="U14" s="586"/>
      <c r="V14" s="561"/>
      <c r="W14" s="586"/>
      <c r="X14" s="561"/>
      <c r="Y14" s="586"/>
      <c r="Z14" s="561"/>
      <c r="AA14" s="586"/>
      <c r="AB14" s="561"/>
      <c r="AC14" s="586"/>
      <c r="AD14" s="561"/>
      <c r="AE14" s="586"/>
      <c r="AF14" s="561"/>
      <c r="AG14" s="586"/>
      <c r="AH14" s="561"/>
      <c r="AI14" s="586"/>
      <c r="AJ14" s="561"/>
      <c r="AK14" s="586"/>
      <c r="AL14" s="561"/>
      <c r="AM14" s="586"/>
      <c r="AN14" s="561"/>
      <c r="AO14" s="586"/>
      <c r="AP14" s="561"/>
      <c r="AQ14" s="586"/>
      <c r="AR14" s="561"/>
      <c r="AS14" s="586"/>
      <c r="AT14" s="561"/>
      <c r="AU14" s="586"/>
      <c r="AV14" s="561"/>
      <c r="AW14" s="586"/>
      <c r="AY14" s="229"/>
      <c r="AZ14" s="740">
        <v>6</v>
      </c>
      <c r="BA14" s="744" t="s">
        <v>264</v>
      </c>
      <c r="BB14" s="740" t="s">
        <v>245</v>
      </c>
      <c r="BC14" s="666" t="s">
        <v>249</v>
      </c>
      <c r="BD14" s="665"/>
      <c r="BE14" s="666" t="str">
        <f aca="true" t="shared" si="14" ref="BE14:BE40">IF(OR(ISBLANK(F14),ISBLANK(H14)),"N/A",IF(ABS((H14-F14)/F14)&gt;0.25,"&gt; 25%","ok"))</f>
        <v>N/A</v>
      </c>
      <c r="BF14" s="665"/>
      <c r="BG14" s="666" t="str">
        <f t="shared" si="13"/>
        <v>N/A</v>
      </c>
      <c r="BH14" s="666"/>
      <c r="BI14" s="666" t="str">
        <f t="shared" si="0"/>
        <v>N/A</v>
      </c>
      <c r="BJ14" s="666"/>
      <c r="BK14" s="666" t="str">
        <f t="shared" si="1"/>
        <v>N/A</v>
      </c>
      <c r="BL14" s="666"/>
      <c r="BM14" s="666" t="str">
        <f t="shared" si="2"/>
        <v>N/A</v>
      </c>
      <c r="BN14" s="666"/>
      <c r="BO14" s="666" t="str">
        <f t="shared" si="3"/>
        <v>N/A</v>
      </c>
      <c r="BP14" s="666"/>
      <c r="BQ14" s="666" t="str">
        <f t="shared" si="4"/>
        <v>N/A</v>
      </c>
      <c r="BR14" s="666"/>
      <c r="BS14" s="666" t="str">
        <f t="shared" si="5"/>
        <v>N/A</v>
      </c>
      <c r="BT14" s="666"/>
      <c r="BU14" s="666" t="str">
        <f t="shared" si="6"/>
        <v>N/A</v>
      </c>
      <c r="BV14" s="666"/>
      <c r="BW14" s="666" t="str">
        <f t="shared" si="7"/>
        <v>N/A</v>
      </c>
      <c r="BX14" s="666"/>
      <c r="BY14" s="666" t="str">
        <f t="shared" si="8"/>
        <v>N/A</v>
      </c>
      <c r="BZ14" s="666"/>
      <c r="CA14" s="666" t="str">
        <f t="shared" si="9"/>
        <v>N/A</v>
      </c>
      <c r="CB14" s="666"/>
      <c r="CC14" s="666" t="str">
        <f t="shared" si="10"/>
        <v>N/A</v>
      </c>
      <c r="CD14" s="666"/>
      <c r="CE14" s="666" t="str">
        <f t="shared" si="11"/>
        <v>N/A</v>
      </c>
      <c r="CF14" s="666"/>
      <c r="CG14" s="666" t="str">
        <f t="shared" si="12"/>
        <v>N/A</v>
      </c>
      <c r="CH14" s="666"/>
      <c r="CI14" s="666" t="str">
        <f aca="true" t="shared" si="15" ref="CI14:CI40">IF(OR(ISBLANK(AJ14),ISBLANK(AL14)),"N/A",IF(ABS((AL14-AJ14)/AJ14)&gt;0.25,"&gt; 25%","ok"))</f>
        <v>N/A</v>
      </c>
      <c r="CJ14" s="666"/>
      <c r="CK14" s="666" t="str">
        <f aca="true" t="shared" si="16" ref="CK14:CK40">IF(OR(ISBLANK(AL14),ISBLANK(AN14)),"N/A",IF(ABS((AN14-AL14)/AL14)&gt;0.25,"&gt; 25%","ok"))</f>
        <v>N/A</v>
      </c>
      <c r="CL14" s="666"/>
      <c r="CM14" s="666" t="str">
        <f aca="true" t="shared" si="17" ref="CM14:CM40">IF(OR(ISBLANK(AN14),ISBLANK(AP14)),"N/A",IF(ABS((AP14-AN14)/AN14)&gt;0.25,"&gt; 25%","ok"))</f>
        <v>N/A</v>
      </c>
      <c r="CN14" s="666"/>
      <c r="CO14" s="666" t="str">
        <f aca="true" t="shared" si="18" ref="CO14:CO40">IF(OR(ISBLANK(AP14),ISBLANK(AR14)),"N/A",IF(ABS((AR14-AP14)/AP14)&gt;0.25,"&gt; 25%","ok"))</f>
        <v>N/A</v>
      </c>
      <c r="CP14" s="666"/>
      <c r="CQ14" s="666" t="str">
        <f aca="true" t="shared" si="19" ref="CQ14:CQ40">IF(OR(ISBLANK(AR14),ISBLANK(AT14)),"N/A",IF(ABS((AT14-AR14)/AR14)&gt;0.25,"&gt; 25%","ok"))</f>
        <v>N/A</v>
      </c>
      <c r="CR14" s="666"/>
      <c r="CS14" s="666" t="str">
        <f aca="true" t="shared" si="20" ref="CS14:CS40">IF(OR(ISBLANK(AT14),ISBLANK(AV14)),"N/A",IF(ABS((AV14-AT14)/AT14)&gt;0.25,"&gt; 25%","ok"))</f>
        <v>N/A</v>
      </c>
      <c r="CT14" s="58"/>
      <c r="CU14" s="58"/>
    </row>
    <row r="15" spans="1:99" s="398" customFormat="1" ht="21" customHeight="1">
      <c r="A15" s="225"/>
      <c r="B15" s="383">
        <v>256</v>
      </c>
      <c r="C15" s="389">
        <v>7</v>
      </c>
      <c r="D15" s="397" t="s">
        <v>346</v>
      </c>
      <c r="E15" s="386" t="s">
        <v>327</v>
      </c>
      <c r="F15" s="561"/>
      <c r="G15" s="586"/>
      <c r="H15" s="561"/>
      <c r="I15" s="586"/>
      <c r="J15" s="561"/>
      <c r="K15" s="586"/>
      <c r="L15" s="561"/>
      <c r="M15" s="586"/>
      <c r="N15" s="561"/>
      <c r="O15" s="586"/>
      <c r="P15" s="561"/>
      <c r="Q15" s="586"/>
      <c r="R15" s="561"/>
      <c r="S15" s="586"/>
      <c r="T15" s="561"/>
      <c r="U15" s="586"/>
      <c r="V15" s="561"/>
      <c r="W15" s="586"/>
      <c r="X15" s="561"/>
      <c r="Y15" s="586"/>
      <c r="Z15" s="561"/>
      <c r="AA15" s="586"/>
      <c r="AB15" s="561"/>
      <c r="AC15" s="586"/>
      <c r="AD15" s="561"/>
      <c r="AE15" s="586"/>
      <c r="AF15" s="561"/>
      <c r="AG15" s="586"/>
      <c r="AH15" s="561"/>
      <c r="AI15" s="586"/>
      <c r="AJ15" s="561"/>
      <c r="AK15" s="586"/>
      <c r="AL15" s="561"/>
      <c r="AM15" s="586"/>
      <c r="AN15" s="561"/>
      <c r="AO15" s="586"/>
      <c r="AP15" s="561"/>
      <c r="AQ15" s="586"/>
      <c r="AR15" s="561"/>
      <c r="AS15" s="586"/>
      <c r="AT15" s="561"/>
      <c r="AU15" s="586"/>
      <c r="AV15" s="561"/>
      <c r="AW15" s="586"/>
      <c r="AY15" s="229"/>
      <c r="AZ15" s="740">
        <v>7</v>
      </c>
      <c r="BA15" s="744" t="s">
        <v>93</v>
      </c>
      <c r="BB15" s="740" t="s">
        <v>245</v>
      </c>
      <c r="BC15" s="666" t="s">
        <v>249</v>
      </c>
      <c r="BD15" s="665"/>
      <c r="BE15" s="666" t="str">
        <f t="shared" si="14"/>
        <v>N/A</v>
      </c>
      <c r="BF15" s="665"/>
      <c r="BG15" s="666" t="str">
        <f t="shared" si="13"/>
        <v>N/A</v>
      </c>
      <c r="BH15" s="666"/>
      <c r="BI15" s="666" t="str">
        <f t="shared" si="0"/>
        <v>N/A</v>
      </c>
      <c r="BJ15" s="666"/>
      <c r="BK15" s="666" t="str">
        <f t="shared" si="1"/>
        <v>N/A</v>
      </c>
      <c r="BL15" s="666"/>
      <c r="BM15" s="666" t="str">
        <f t="shared" si="2"/>
        <v>N/A</v>
      </c>
      <c r="BN15" s="666"/>
      <c r="BO15" s="666" t="str">
        <f t="shared" si="3"/>
        <v>N/A</v>
      </c>
      <c r="BP15" s="666"/>
      <c r="BQ15" s="666" t="str">
        <f t="shared" si="4"/>
        <v>N/A</v>
      </c>
      <c r="BR15" s="666"/>
      <c r="BS15" s="666" t="str">
        <f t="shared" si="5"/>
        <v>N/A</v>
      </c>
      <c r="BT15" s="666"/>
      <c r="BU15" s="666" t="str">
        <f t="shared" si="6"/>
        <v>N/A</v>
      </c>
      <c r="BV15" s="666"/>
      <c r="BW15" s="666" t="str">
        <f t="shared" si="7"/>
        <v>N/A</v>
      </c>
      <c r="BX15" s="666"/>
      <c r="BY15" s="666" t="str">
        <f t="shared" si="8"/>
        <v>N/A</v>
      </c>
      <c r="BZ15" s="666"/>
      <c r="CA15" s="666" t="str">
        <f t="shared" si="9"/>
        <v>N/A</v>
      </c>
      <c r="CB15" s="666"/>
      <c r="CC15" s="666" t="str">
        <f t="shared" si="10"/>
        <v>N/A</v>
      </c>
      <c r="CD15" s="666"/>
      <c r="CE15" s="666" t="str">
        <f t="shared" si="11"/>
        <v>N/A</v>
      </c>
      <c r="CF15" s="666"/>
      <c r="CG15" s="666" t="str">
        <f t="shared" si="12"/>
        <v>N/A</v>
      </c>
      <c r="CH15" s="666"/>
      <c r="CI15" s="666" t="str">
        <f t="shared" si="15"/>
        <v>N/A</v>
      </c>
      <c r="CJ15" s="666"/>
      <c r="CK15" s="666" t="str">
        <f t="shared" si="16"/>
        <v>N/A</v>
      </c>
      <c r="CL15" s="666"/>
      <c r="CM15" s="666" t="str">
        <f t="shared" si="17"/>
        <v>N/A</v>
      </c>
      <c r="CN15" s="666"/>
      <c r="CO15" s="666" t="str">
        <f t="shared" si="18"/>
        <v>N/A</v>
      </c>
      <c r="CP15" s="666"/>
      <c r="CQ15" s="666" t="str">
        <f t="shared" si="19"/>
        <v>N/A</v>
      </c>
      <c r="CR15" s="666"/>
      <c r="CS15" s="666" t="str">
        <f t="shared" si="20"/>
        <v>N/A</v>
      </c>
      <c r="CT15" s="58"/>
      <c r="CU15" s="58"/>
    </row>
    <row r="16" spans="1:99" s="398" customFormat="1" ht="21" customHeight="1">
      <c r="A16" s="225"/>
      <c r="B16" s="383">
        <v>257</v>
      </c>
      <c r="C16" s="389">
        <v>8</v>
      </c>
      <c r="D16" s="397" t="s">
        <v>349</v>
      </c>
      <c r="E16" s="386" t="s">
        <v>327</v>
      </c>
      <c r="F16" s="561"/>
      <c r="G16" s="586"/>
      <c r="H16" s="561"/>
      <c r="I16" s="586"/>
      <c r="J16" s="561"/>
      <c r="K16" s="586"/>
      <c r="L16" s="561"/>
      <c r="M16" s="586"/>
      <c r="N16" s="561"/>
      <c r="O16" s="586"/>
      <c r="P16" s="561"/>
      <c r="Q16" s="586"/>
      <c r="R16" s="561"/>
      <c r="S16" s="586"/>
      <c r="T16" s="561"/>
      <c r="U16" s="586"/>
      <c r="V16" s="561"/>
      <c r="W16" s="586"/>
      <c r="X16" s="561"/>
      <c r="Y16" s="586"/>
      <c r="Z16" s="561"/>
      <c r="AA16" s="586"/>
      <c r="AB16" s="561"/>
      <c r="AC16" s="586"/>
      <c r="AD16" s="561"/>
      <c r="AE16" s="586"/>
      <c r="AF16" s="561"/>
      <c r="AG16" s="586"/>
      <c r="AH16" s="561"/>
      <c r="AI16" s="586"/>
      <c r="AJ16" s="561"/>
      <c r="AK16" s="586"/>
      <c r="AL16" s="561"/>
      <c r="AM16" s="586"/>
      <c r="AN16" s="561"/>
      <c r="AO16" s="586"/>
      <c r="AP16" s="561"/>
      <c r="AQ16" s="586"/>
      <c r="AR16" s="561"/>
      <c r="AS16" s="586"/>
      <c r="AT16" s="561"/>
      <c r="AU16" s="586"/>
      <c r="AV16" s="561"/>
      <c r="AW16" s="586"/>
      <c r="AY16" s="229"/>
      <c r="AZ16" s="740">
        <v>8</v>
      </c>
      <c r="BA16" s="744" t="s">
        <v>257</v>
      </c>
      <c r="BB16" s="740" t="s">
        <v>245</v>
      </c>
      <c r="BC16" s="666" t="s">
        <v>249</v>
      </c>
      <c r="BD16" s="665"/>
      <c r="BE16" s="666" t="str">
        <f t="shared" si="14"/>
        <v>N/A</v>
      </c>
      <c r="BF16" s="665"/>
      <c r="BG16" s="666" t="str">
        <f t="shared" si="13"/>
        <v>N/A</v>
      </c>
      <c r="BH16" s="666"/>
      <c r="BI16" s="666" t="str">
        <f t="shared" si="0"/>
        <v>N/A</v>
      </c>
      <c r="BJ16" s="666"/>
      <c r="BK16" s="666" t="str">
        <f t="shared" si="1"/>
        <v>N/A</v>
      </c>
      <c r="BL16" s="666"/>
      <c r="BM16" s="666" t="str">
        <f t="shared" si="2"/>
        <v>N/A</v>
      </c>
      <c r="BN16" s="666"/>
      <c r="BO16" s="666" t="str">
        <f t="shared" si="3"/>
        <v>N/A</v>
      </c>
      <c r="BP16" s="666"/>
      <c r="BQ16" s="666" t="str">
        <f t="shared" si="4"/>
        <v>N/A</v>
      </c>
      <c r="BR16" s="666"/>
      <c r="BS16" s="666" t="str">
        <f t="shared" si="5"/>
        <v>N/A</v>
      </c>
      <c r="BT16" s="666"/>
      <c r="BU16" s="666" t="str">
        <f t="shared" si="6"/>
        <v>N/A</v>
      </c>
      <c r="BV16" s="666"/>
      <c r="BW16" s="666" t="str">
        <f t="shared" si="7"/>
        <v>N/A</v>
      </c>
      <c r="BX16" s="666"/>
      <c r="BY16" s="666" t="str">
        <f t="shared" si="8"/>
        <v>N/A</v>
      </c>
      <c r="BZ16" s="666"/>
      <c r="CA16" s="666" t="str">
        <f t="shared" si="9"/>
        <v>N/A</v>
      </c>
      <c r="CB16" s="666"/>
      <c r="CC16" s="666" t="str">
        <f t="shared" si="10"/>
        <v>N/A</v>
      </c>
      <c r="CD16" s="666"/>
      <c r="CE16" s="666" t="str">
        <f t="shared" si="11"/>
        <v>N/A</v>
      </c>
      <c r="CF16" s="666"/>
      <c r="CG16" s="666" t="str">
        <f t="shared" si="12"/>
        <v>N/A</v>
      </c>
      <c r="CH16" s="666"/>
      <c r="CI16" s="666" t="str">
        <f t="shared" si="15"/>
        <v>N/A</v>
      </c>
      <c r="CJ16" s="666"/>
      <c r="CK16" s="666" t="str">
        <f t="shared" si="16"/>
        <v>N/A</v>
      </c>
      <c r="CL16" s="666"/>
      <c r="CM16" s="666" t="str">
        <f t="shared" si="17"/>
        <v>N/A</v>
      </c>
      <c r="CN16" s="666"/>
      <c r="CO16" s="666" t="str">
        <f t="shared" si="18"/>
        <v>N/A</v>
      </c>
      <c r="CP16" s="666"/>
      <c r="CQ16" s="666" t="str">
        <f t="shared" si="19"/>
        <v>N/A</v>
      </c>
      <c r="CR16" s="666"/>
      <c r="CS16" s="666" t="str">
        <f t="shared" si="20"/>
        <v>N/A</v>
      </c>
      <c r="CT16" s="58"/>
      <c r="CU16" s="58"/>
    </row>
    <row r="17" spans="1:99" s="398" customFormat="1" ht="21" customHeight="1">
      <c r="A17" s="225"/>
      <c r="B17" s="383">
        <v>263</v>
      </c>
      <c r="C17" s="389">
        <v>9</v>
      </c>
      <c r="D17" s="633" t="s">
        <v>351</v>
      </c>
      <c r="E17" s="386" t="s">
        <v>327</v>
      </c>
      <c r="F17" s="561"/>
      <c r="G17" s="586"/>
      <c r="H17" s="561"/>
      <c r="I17" s="586"/>
      <c r="J17" s="561"/>
      <c r="K17" s="586"/>
      <c r="L17" s="561"/>
      <c r="M17" s="586"/>
      <c r="N17" s="561"/>
      <c r="O17" s="586"/>
      <c r="P17" s="561"/>
      <c r="Q17" s="586"/>
      <c r="R17" s="561"/>
      <c r="S17" s="586"/>
      <c r="T17" s="561"/>
      <c r="U17" s="586"/>
      <c r="V17" s="561"/>
      <c r="W17" s="586"/>
      <c r="X17" s="561"/>
      <c r="Y17" s="586"/>
      <c r="Z17" s="561"/>
      <c r="AA17" s="586"/>
      <c r="AB17" s="561"/>
      <c r="AC17" s="586"/>
      <c r="AD17" s="561"/>
      <c r="AE17" s="586"/>
      <c r="AF17" s="561"/>
      <c r="AG17" s="586"/>
      <c r="AH17" s="561"/>
      <c r="AI17" s="586"/>
      <c r="AJ17" s="561"/>
      <c r="AK17" s="586"/>
      <c r="AL17" s="561"/>
      <c r="AM17" s="586"/>
      <c r="AN17" s="561"/>
      <c r="AO17" s="586"/>
      <c r="AP17" s="561"/>
      <c r="AQ17" s="586"/>
      <c r="AR17" s="561"/>
      <c r="AS17" s="586"/>
      <c r="AT17" s="561"/>
      <c r="AU17" s="586"/>
      <c r="AV17" s="561"/>
      <c r="AW17" s="586"/>
      <c r="AY17" s="229"/>
      <c r="AZ17" s="740">
        <v>9</v>
      </c>
      <c r="BA17" s="745" t="s">
        <v>625</v>
      </c>
      <c r="BB17" s="740" t="s">
        <v>245</v>
      </c>
      <c r="BC17" s="666"/>
      <c r="BD17" s="665"/>
      <c r="BE17" s="666" t="str">
        <f t="shared" si="14"/>
        <v>N/A</v>
      </c>
      <c r="BF17" s="665"/>
      <c r="BG17" s="666" t="str">
        <f t="shared" si="13"/>
        <v>N/A</v>
      </c>
      <c r="BH17" s="666"/>
      <c r="BI17" s="666" t="str">
        <f t="shared" si="0"/>
        <v>N/A</v>
      </c>
      <c r="BJ17" s="666"/>
      <c r="BK17" s="666" t="str">
        <f t="shared" si="1"/>
        <v>N/A</v>
      </c>
      <c r="BL17" s="666"/>
      <c r="BM17" s="666" t="str">
        <f t="shared" si="2"/>
        <v>N/A</v>
      </c>
      <c r="BN17" s="666"/>
      <c r="BO17" s="666" t="str">
        <f t="shared" si="3"/>
        <v>N/A</v>
      </c>
      <c r="BP17" s="666"/>
      <c r="BQ17" s="666" t="str">
        <f t="shared" si="4"/>
        <v>N/A</v>
      </c>
      <c r="BR17" s="666"/>
      <c r="BS17" s="666" t="str">
        <f t="shared" si="5"/>
        <v>N/A</v>
      </c>
      <c r="BT17" s="666"/>
      <c r="BU17" s="666" t="str">
        <f t="shared" si="6"/>
        <v>N/A</v>
      </c>
      <c r="BV17" s="666"/>
      <c r="BW17" s="666" t="str">
        <f t="shared" si="7"/>
        <v>N/A</v>
      </c>
      <c r="BX17" s="666"/>
      <c r="BY17" s="666" t="str">
        <f t="shared" si="8"/>
        <v>N/A</v>
      </c>
      <c r="BZ17" s="666"/>
      <c r="CA17" s="666" t="str">
        <f t="shared" si="9"/>
        <v>N/A</v>
      </c>
      <c r="CB17" s="666"/>
      <c r="CC17" s="666" t="str">
        <f t="shared" si="10"/>
        <v>N/A</v>
      </c>
      <c r="CD17" s="666"/>
      <c r="CE17" s="666" t="str">
        <f t="shared" si="11"/>
        <v>N/A</v>
      </c>
      <c r="CF17" s="666"/>
      <c r="CG17" s="666" t="str">
        <f t="shared" si="12"/>
        <v>N/A</v>
      </c>
      <c r="CH17" s="666"/>
      <c r="CI17" s="666" t="str">
        <f t="shared" si="15"/>
        <v>N/A</v>
      </c>
      <c r="CJ17" s="666"/>
      <c r="CK17" s="666" t="str">
        <f t="shared" si="16"/>
        <v>N/A</v>
      </c>
      <c r="CL17" s="666"/>
      <c r="CM17" s="666" t="str">
        <f t="shared" si="17"/>
        <v>N/A</v>
      </c>
      <c r="CN17" s="666"/>
      <c r="CO17" s="666" t="str">
        <f t="shared" si="18"/>
        <v>N/A</v>
      </c>
      <c r="CP17" s="666"/>
      <c r="CQ17" s="666" t="str">
        <f t="shared" si="19"/>
        <v>N/A</v>
      </c>
      <c r="CR17" s="666"/>
      <c r="CS17" s="666" t="str">
        <f t="shared" si="20"/>
        <v>N/A</v>
      </c>
      <c r="CT17" s="58"/>
      <c r="CU17" s="58"/>
    </row>
    <row r="18" spans="1:99" s="398" customFormat="1" ht="21" customHeight="1">
      <c r="A18" s="225"/>
      <c r="B18" s="383">
        <v>264</v>
      </c>
      <c r="C18" s="389">
        <v>10</v>
      </c>
      <c r="D18" s="404" t="s">
        <v>616</v>
      </c>
      <c r="E18" s="386" t="s">
        <v>327</v>
      </c>
      <c r="F18" s="561"/>
      <c r="G18" s="586"/>
      <c r="H18" s="561"/>
      <c r="I18" s="586"/>
      <c r="J18" s="561"/>
      <c r="K18" s="586"/>
      <c r="L18" s="561"/>
      <c r="M18" s="586"/>
      <c r="N18" s="561"/>
      <c r="O18" s="586"/>
      <c r="P18" s="561"/>
      <c r="Q18" s="586"/>
      <c r="R18" s="561"/>
      <c r="S18" s="586"/>
      <c r="T18" s="561"/>
      <c r="U18" s="586"/>
      <c r="V18" s="561"/>
      <c r="W18" s="586"/>
      <c r="X18" s="561"/>
      <c r="Y18" s="586"/>
      <c r="Z18" s="561"/>
      <c r="AA18" s="586"/>
      <c r="AB18" s="561"/>
      <c r="AC18" s="586"/>
      <c r="AD18" s="561"/>
      <c r="AE18" s="586"/>
      <c r="AF18" s="561"/>
      <c r="AG18" s="586"/>
      <c r="AH18" s="561"/>
      <c r="AI18" s="586"/>
      <c r="AJ18" s="561"/>
      <c r="AK18" s="586"/>
      <c r="AL18" s="561"/>
      <c r="AM18" s="586"/>
      <c r="AN18" s="561"/>
      <c r="AO18" s="586"/>
      <c r="AP18" s="561"/>
      <c r="AQ18" s="586"/>
      <c r="AR18" s="561"/>
      <c r="AS18" s="586"/>
      <c r="AT18" s="561"/>
      <c r="AU18" s="586"/>
      <c r="AV18" s="561"/>
      <c r="AW18" s="586"/>
      <c r="AY18" s="229"/>
      <c r="AZ18" s="740">
        <v>10</v>
      </c>
      <c r="BA18" s="744" t="s">
        <v>626</v>
      </c>
      <c r="BB18" s="740" t="s">
        <v>245</v>
      </c>
      <c r="BC18" s="666"/>
      <c r="BD18" s="665"/>
      <c r="BE18" s="666" t="str">
        <f t="shared" si="14"/>
        <v>N/A</v>
      </c>
      <c r="BF18" s="665"/>
      <c r="BG18" s="666" t="str">
        <f t="shared" si="13"/>
        <v>N/A</v>
      </c>
      <c r="BH18" s="666"/>
      <c r="BI18" s="666" t="str">
        <f t="shared" si="0"/>
        <v>N/A</v>
      </c>
      <c r="BJ18" s="666"/>
      <c r="BK18" s="666" t="str">
        <f t="shared" si="1"/>
        <v>N/A</v>
      </c>
      <c r="BL18" s="666"/>
      <c r="BM18" s="666" t="str">
        <f t="shared" si="2"/>
        <v>N/A</v>
      </c>
      <c r="BN18" s="666"/>
      <c r="BO18" s="666" t="str">
        <f t="shared" si="3"/>
        <v>N/A</v>
      </c>
      <c r="BP18" s="666"/>
      <c r="BQ18" s="666" t="str">
        <f t="shared" si="4"/>
        <v>N/A</v>
      </c>
      <c r="BR18" s="666"/>
      <c r="BS18" s="666" t="str">
        <f t="shared" si="5"/>
        <v>N/A</v>
      </c>
      <c r="BT18" s="666"/>
      <c r="BU18" s="666" t="str">
        <f t="shared" si="6"/>
        <v>N/A</v>
      </c>
      <c r="BV18" s="666"/>
      <c r="BW18" s="666" t="str">
        <f t="shared" si="7"/>
        <v>N/A</v>
      </c>
      <c r="BX18" s="666"/>
      <c r="BY18" s="666" t="str">
        <f t="shared" si="8"/>
        <v>N/A</v>
      </c>
      <c r="BZ18" s="666"/>
      <c r="CA18" s="666" t="str">
        <f t="shared" si="9"/>
        <v>N/A</v>
      </c>
      <c r="CB18" s="666"/>
      <c r="CC18" s="666" t="str">
        <f t="shared" si="10"/>
        <v>N/A</v>
      </c>
      <c r="CD18" s="666"/>
      <c r="CE18" s="666" t="str">
        <f t="shared" si="11"/>
        <v>N/A</v>
      </c>
      <c r="CF18" s="666"/>
      <c r="CG18" s="666" t="str">
        <f t="shared" si="12"/>
        <v>N/A</v>
      </c>
      <c r="CH18" s="666"/>
      <c r="CI18" s="666" t="str">
        <f t="shared" si="15"/>
        <v>N/A</v>
      </c>
      <c r="CJ18" s="666"/>
      <c r="CK18" s="666" t="str">
        <f t="shared" si="16"/>
        <v>N/A</v>
      </c>
      <c r="CL18" s="666"/>
      <c r="CM18" s="666" t="str">
        <f t="shared" si="17"/>
        <v>N/A</v>
      </c>
      <c r="CN18" s="666"/>
      <c r="CO18" s="666" t="str">
        <f t="shared" si="18"/>
        <v>N/A</v>
      </c>
      <c r="CP18" s="666"/>
      <c r="CQ18" s="666" t="str">
        <f t="shared" si="19"/>
        <v>N/A</v>
      </c>
      <c r="CR18" s="666"/>
      <c r="CS18" s="666" t="str">
        <f t="shared" si="20"/>
        <v>N/A</v>
      </c>
      <c r="CT18" s="58"/>
      <c r="CU18" s="58"/>
    </row>
    <row r="19" spans="1:99" s="398" customFormat="1" ht="21" customHeight="1">
      <c r="A19" s="225"/>
      <c r="B19" s="383">
        <v>258</v>
      </c>
      <c r="C19" s="389">
        <v>11</v>
      </c>
      <c r="D19" s="404" t="s">
        <v>347</v>
      </c>
      <c r="E19" s="386" t="s">
        <v>327</v>
      </c>
      <c r="F19" s="561"/>
      <c r="G19" s="586"/>
      <c r="H19" s="561"/>
      <c r="I19" s="586"/>
      <c r="J19" s="561"/>
      <c r="K19" s="586"/>
      <c r="L19" s="561"/>
      <c r="M19" s="586"/>
      <c r="N19" s="561"/>
      <c r="O19" s="586"/>
      <c r="P19" s="561"/>
      <c r="Q19" s="586"/>
      <c r="R19" s="561"/>
      <c r="S19" s="586"/>
      <c r="T19" s="561"/>
      <c r="U19" s="586"/>
      <c r="V19" s="561"/>
      <c r="W19" s="586"/>
      <c r="X19" s="561"/>
      <c r="Y19" s="586"/>
      <c r="Z19" s="561"/>
      <c r="AA19" s="586"/>
      <c r="AB19" s="561"/>
      <c r="AC19" s="586"/>
      <c r="AD19" s="561"/>
      <c r="AE19" s="586"/>
      <c r="AF19" s="561"/>
      <c r="AG19" s="586"/>
      <c r="AH19" s="561"/>
      <c r="AI19" s="586"/>
      <c r="AJ19" s="561"/>
      <c r="AK19" s="586"/>
      <c r="AL19" s="561"/>
      <c r="AM19" s="586"/>
      <c r="AN19" s="561"/>
      <c r="AO19" s="586"/>
      <c r="AP19" s="561"/>
      <c r="AQ19" s="586"/>
      <c r="AR19" s="561"/>
      <c r="AS19" s="586"/>
      <c r="AT19" s="561"/>
      <c r="AU19" s="586"/>
      <c r="AV19" s="561"/>
      <c r="AW19" s="586"/>
      <c r="AY19" s="229"/>
      <c r="AZ19" s="740">
        <v>11</v>
      </c>
      <c r="BA19" s="744" t="s">
        <v>194</v>
      </c>
      <c r="BB19" s="740" t="s">
        <v>245</v>
      </c>
      <c r="BC19" s="666" t="s">
        <v>249</v>
      </c>
      <c r="BD19" s="665"/>
      <c r="BE19" s="666" t="str">
        <f t="shared" si="14"/>
        <v>N/A</v>
      </c>
      <c r="BF19" s="665"/>
      <c r="BG19" s="666" t="str">
        <f t="shared" si="13"/>
        <v>N/A</v>
      </c>
      <c r="BH19" s="666"/>
      <c r="BI19" s="666" t="str">
        <f t="shared" si="0"/>
        <v>N/A</v>
      </c>
      <c r="BJ19" s="666"/>
      <c r="BK19" s="666" t="str">
        <f t="shared" si="1"/>
        <v>N/A</v>
      </c>
      <c r="BL19" s="666"/>
      <c r="BM19" s="666" t="str">
        <f t="shared" si="2"/>
        <v>N/A</v>
      </c>
      <c r="BN19" s="666"/>
      <c r="BO19" s="666" t="str">
        <f t="shared" si="3"/>
        <v>N/A</v>
      </c>
      <c r="BP19" s="666"/>
      <c r="BQ19" s="666" t="str">
        <f t="shared" si="4"/>
        <v>N/A</v>
      </c>
      <c r="BR19" s="666"/>
      <c r="BS19" s="666" t="str">
        <f t="shared" si="5"/>
        <v>N/A</v>
      </c>
      <c r="BT19" s="666"/>
      <c r="BU19" s="666" t="str">
        <f t="shared" si="6"/>
        <v>N/A</v>
      </c>
      <c r="BV19" s="666"/>
      <c r="BW19" s="666" t="str">
        <f t="shared" si="7"/>
        <v>N/A</v>
      </c>
      <c r="BX19" s="666"/>
      <c r="BY19" s="666" t="str">
        <f t="shared" si="8"/>
        <v>N/A</v>
      </c>
      <c r="BZ19" s="666"/>
      <c r="CA19" s="666" t="str">
        <f t="shared" si="9"/>
        <v>N/A</v>
      </c>
      <c r="CB19" s="666"/>
      <c r="CC19" s="666" t="str">
        <f t="shared" si="10"/>
        <v>N/A</v>
      </c>
      <c r="CD19" s="666"/>
      <c r="CE19" s="666" t="str">
        <f t="shared" si="11"/>
        <v>N/A</v>
      </c>
      <c r="CF19" s="666"/>
      <c r="CG19" s="666" t="str">
        <f t="shared" si="12"/>
        <v>N/A</v>
      </c>
      <c r="CH19" s="666"/>
      <c r="CI19" s="666" t="str">
        <f t="shared" si="15"/>
        <v>N/A</v>
      </c>
      <c r="CJ19" s="666"/>
      <c r="CK19" s="666" t="str">
        <f t="shared" si="16"/>
        <v>N/A</v>
      </c>
      <c r="CL19" s="666"/>
      <c r="CM19" s="666" t="str">
        <f t="shared" si="17"/>
        <v>N/A</v>
      </c>
      <c r="CN19" s="666"/>
      <c r="CO19" s="666" t="str">
        <f t="shared" si="18"/>
        <v>N/A</v>
      </c>
      <c r="CP19" s="666"/>
      <c r="CQ19" s="666" t="str">
        <f t="shared" si="19"/>
        <v>N/A</v>
      </c>
      <c r="CR19" s="666"/>
      <c r="CS19" s="666" t="str">
        <f t="shared" si="20"/>
        <v>N/A</v>
      </c>
      <c r="CT19" s="58"/>
      <c r="CU19" s="58"/>
    </row>
    <row r="20" spans="1:99" s="398" customFormat="1" ht="33.75">
      <c r="A20" s="225"/>
      <c r="B20" s="383">
        <v>265</v>
      </c>
      <c r="C20" s="389">
        <v>12</v>
      </c>
      <c r="D20" s="634" t="s">
        <v>617</v>
      </c>
      <c r="E20" s="386" t="s">
        <v>327</v>
      </c>
      <c r="F20" s="561"/>
      <c r="G20" s="586"/>
      <c r="H20" s="561"/>
      <c r="I20" s="586"/>
      <c r="J20" s="561"/>
      <c r="K20" s="586"/>
      <c r="L20" s="561"/>
      <c r="M20" s="586"/>
      <c r="N20" s="561"/>
      <c r="O20" s="586"/>
      <c r="P20" s="561"/>
      <c r="Q20" s="586"/>
      <c r="R20" s="561"/>
      <c r="S20" s="586"/>
      <c r="T20" s="561"/>
      <c r="U20" s="586"/>
      <c r="V20" s="561"/>
      <c r="W20" s="586"/>
      <c r="X20" s="561"/>
      <c r="Y20" s="586"/>
      <c r="Z20" s="561"/>
      <c r="AA20" s="586"/>
      <c r="AB20" s="561"/>
      <c r="AC20" s="586"/>
      <c r="AD20" s="561"/>
      <c r="AE20" s="586"/>
      <c r="AF20" s="561"/>
      <c r="AG20" s="586"/>
      <c r="AH20" s="561"/>
      <c r="AI20" s="586"/>
      <c r="AJ20" s="561"/>
      <c r="AK20" s="586"/>
      <c r="AL20" s="561"/>
      <c r="AM20" s="586"/>
      <c r="AN20" s="561"/>
      <c r="AO20" s="586"/>
      <c r="AP20" s="561"/>
      <c r="AQ20" s="586"/>
      <c r="AR20" s="561"/>
      <c r="AS20" s="586"/>
      <c r="AT20" s="561"/>
      <c r="AU20" s="586"/>
      <c r="AV20" s="561"/>
      <c r="AW20" s="586"/>
      <c r="AY20" s="229"/>
      <c r="AZ20" s="740">
        <v>12</v>
      </c>
      <c r="BA20" s="744" t="s">
        <v>627</v>
      </c>
      <c r="BB20" s="740" t="s">
        <v>245</v>
      </c>
      <c r="BC20" s="666"/>
      <c r="BD20" s="665"/>
      <c r="BE20" s="666" t="str">
        <f t="shared" si="14"/>
        <v>N/A</v>
      </c>
      <c r="BF20" s="665"/>
      <c r="BG20" s="666" t="str">
        <f t="shared" si="13"/>
        <v>N/A</v>
      </c>
      <c r="BH20" s="666"/>
      <c r="BI20" s="666" t="str">
        <f t="shared" si="0"/>
        <v>N/A</v>
      </c>
      <c r="BJ20" s="666"/>
      <c r="BK20" s="666" t="str">
        <f t="shared" si="1"/>
        <v>N/A</v>
      </c>
      <c r="BL20" s="666"/>
      <c r="BM20" s="666" t="str">
        <f t="shared" si="2"/>
        <v>N/A</v>
      </c>
      <c r="BN20" s="666"/>
      <c r="BO20" s="666" t="str">
        <f t="shared" si="3"/>
        <v>N/A</v>
      </c>
      <c r="BP20" s="666"/>
      <c r="BQ20" s="666" t="str">
        <f t="shared" si="4"/>
        <v>N/A</v>
      </c>
      <c r="BR20" s="666"/>
      <c r="BS20" s="666" t="str">
        <f t="shared" si="5"/>
        <v>N/A</v>
      </c>
      <c r="BT20" s="666"/>
      <c r="BU20" s="666" t="str">
        <f t="shared" si="6"/>
        <v>N/A</v>
      </c>
      <c r="BV20" s="666"/>
      <c r="BW20" s="666" t="str">
        <f t="shared" si="7"/>
        <v>N/A</v>
      </c>
      <c r="BX20" s="666"/>
      <c r="BY20" s="666" t="str">
        <f t="shared" si="8"/>
        <v>N/A</v>
      </c>
      <c r="BZ20" s="666"/>
      <c r="CA20" s="666" t="str">
        <f t="shared" si="9"/>
        <v>N/A</v>
      </c>
      <c r="CB20" s="666"/>
      <c r="CC20" s="666" t="str">
        <f t="shared" si="10"/>
        <v>N/A</v>
      </c>
      <c r="CD20" s="666"/>
      <c r="CE20" s="666" t="str">
        <f t="shared" si="11"/>
        <v>N/A</v>
      </c>
      <c r="CF20" s="666"/>
      <c r="CG20" s="666" t="str">
        <f t="shared" si="12"/>
        <v>N/A</v>
      </c>
      <c r="CH20" s="666"/>
      <c r="CI20" s="666" t="str">
        <f t="shared" si="15"/>
        <v>N/A</v>
      </c>
      <c r="CJ20" s="666"/>
      <c r="CK20" s="666" t="str">
        <f t="shared" si="16"/>
        <v>N/A</v>
      </c>
      <c r="CL20" s="666"/>
      <c r="CM20" s="666" t="str">
        <f t="shared" si="17"/>
        <v>N/A</v>
      </c>
      <c r="CN20" s="666"/>
      <c r="CO20" s="666" t="str">
        <f t="shared" si="18"/>
        <v>N/A</v>
      </c>
      <c r="CP20" s="666"/>
      <c r="CQ20" s="666" t="str">
        <f t="shared" si="19"/>
        <v>N/A</v>
      </c>
      <c r="CR20" s="666"/>
      <c r="CS20" s="666" t="str">
        <f t="shared" si="20"/>
        <v>N/A</v>
      </c>
      <c r="CT20" s="58"/>
      <c r="CU20" s="58"/>
    </row>
    <row r="21" spans="1:99" s="398" customFormat="1" ht="21" customHeight="1">
      <c r="A21" s="225"/>
      <c r="B21" s="383">
        <v>259</v>
      </c>
      <c r="C21" s="389">
        <v>13</v>
      </c>
      <c r="D21" s="635" t="s">
        <v>618</v>
      </c>
      <c r="E21" s="386" t="s">
        <v>327</v>
      </c>
      <c r="F21" s="561"/>
      <c r="G21" s="586"/>
      <c r="H21" s="561"/>
      <c r="I21" s="586"/>
      <c r="J21" s="561"/>
      <c r="K21" s="586"/>
      <c r="L21" s="561"/>
      <c r="M21" s="586"/>
      <c r="N21" s="561"/>
      <c r="O21" s="586"/>
      <c r="P21" s="561"/>
      <c r="Q21" s="586"/>
      <c r="R21" s="561"/>
      <c r="S21" s="586"/>
      <c r="T21" s="561"/>
      <c r="U21" s="586"/>
      <c r="V21" s="561"/>
      <c r="W21" s="586"/>
      <c r="X21" s="561"/>
      <c r="Y21" s="586"/>
      <c r="Z21" s="561"/>
      <c r="AA21" s="586"/>
      <c r="AB21" s="561"/>
      <c r="AC21" s="586"/>
      <c r="AD21" s="561"/>
      <c r="AE21" s="586"/>
      <c r="AF21" s="561"/>
      <c r="AG21" s="586"/>
      <c r="AH21" s="561"/>
      <c r="AI21" s="586"/>
      <c r="AJ21" s="561"/>
      <c r="AK21" s="586"/>
      <c r="AL21" s="561"/>
      <c r="AM21" s="586"/>
      <c r="AN21" s="561"/>
      <c r="AO21" s="586"/>
      <c r="AP21" s="561"/>
      <c r="AQ21" s="586"/>
      <c r="AR21" s="561"/>
      <c r="AS21" s="586"/>
      <c r="AT21" s="561"/>
      <c r="AU21" s="586"/>
      <c r="AV21" s="561"/>
      <c r="AW21" s="586"/>
      <c r="AY21" s="229"/>
      <c r="AZ21" s="740">
        <v>13</v>
      </c>
      <c r="BA21" s="746" t="s">
        <v>628</v>
      </c>
      <c r="BB21" s="740" t="s">
        <v>245</v>
      </c>
      <c r="BC21" s="666" t="s">
        <v>249</v>
      </c>
      <c r="BD21" s="665"/>
      <c r="BE21" s="666" t="str">
        <f t="shared" si="14"/>
        <v>N/A</v>
      </c>
      <c r="BF21" s="665"/>
      <c r="BG21" s="666" t="str">
        <f t="shared" si="13"/>
        <v>N/A</v>
      </c>
      <c r="BH21" s="666"/>
      <c r="BI21" s="666" t="str">
        <f t="shared" si="0"/>
        <v>N/A</v>
      </c>
      <c r="BJ21" s="666"/>
      <c r="BK21" s="666" t="str">
        <f t="shared" si="1"/>
        <v>N/A</v>
      </c>
      <c r="BL21" s="666"/>
      <c r="BM21" s="666" t="str">
        <f t="shared" si="2"/>
        <v>N/A</v>
      </c>
      <c r="BN21" s="666"/>
      <c r="BO21" s="666" t="str">
        <f t="shared" si="3"/>
        <v>N/A</v>
      </c>
      <c r="BP21" s="666"/>
      <c r="BQ21" s="666" t="str">
        <f t="shared" si="4"/>
        <v>N/A</v>
      </c>
      <c r="BR21" s="666"/>
      <c r="BS21" s="666" t="str">
        <f t="shared" si="5"/>
        <v>N/A</v>
      </c>
      <c r="BT21" s="666"/>
      <c r="BU21" s="666" t="str">
        <f t="shared" si="6"/>
        <v>N/A</v>
      </c>
      <c r="BV21" s="666"/>
      <c r="BW21" s="666" t="str">
        <f t="shared" si="7"/>
        <v>N/A</v>
      </c>
      <c r="BX21" s="666"/>
      <c r="BY21" s="666" t="str">
        <f t="shared" si="8"/>
        <v>N/A</v>
      </c>
      <c r="BZ21" s="666"/>
      <c r="CA21" s="666" t="str">
        <f t="shared" si="9"/>
        <v>N/A</v>
      </c>
      <c r="CB21" s="666"/>
      <c r="CC21" s="666" t="str">
        <f t="shared" si="10"/>
        <v>N/A</v>
      </c>
      <c r="CD21" s="666"/>
      <c r="CE21" s="666" t="str">
        <f t="shared" si="11"/>
        <v>N/A</v>
      </c>
      <c r="CF21" s="666"/>
      <c r="CG21" s="666" t="str">
        <f t="shared" si="12"/>
        <v>N/A</v>
      </c>
      <c r="CH21" s="666"/>
      <c r="CI21" s="666" t="str">
        <f t="shared" si="15"/>
        <v>N/A</v>
      </c>
      <c r="CJ21" s="666"/>
      <c r="CK21" s="666" t="str">
        <f t="shared" si="16"/>
        <v>N/A</v>
      </c>
      <c r="CL21" s="666"/>
      <c r="CM21" s="666" t="str">
        <f t="shared" si="17"/>
        <v>N/A</v>
      </c>
      <c r="CN21" s="666"/>
      <c r="CO21" s="666" t="str">
        <f t="shared" si="18"/>
        <v>N/A</v>
      </c>
      <c r="CP21" s="666"/>
      <c r="CQ21" s="666" t="str">
        <f t="shared" si="19"/>
        <v>N/A</v>
      </c>
      <c r="CR21" s="666"/>
      <c r="CS21" s="666" t="str">
        <f t="shared" si="20"/>
        <v>N/A</v>
      </c>
      <c r="CT21" s="58"/>
      <c r="CU21" s="58"/>
    </row>
    <row r="22" spans="1:99" s="398" customFormat="1" ht="21" customHeight="1">
      <c r="A22" s="225"/>
      <c r="B22" s="383">
        <v>266</v>
      </c>
      <c r="C22" s="389">
        <v>14</v>
      </c>
      <c r="D22" s="634" t="s">
        <v>619</v>
      </c>
      <c r="E22" s="386" t="s">
        <v>327</v>
      </c>
      <c r="F22" s="561"/>
      <c r="G22" s="586"/>
      <c r="H22" s="561"/>
      <c r="I22" s="586"/>
      <c r="J22" s="561"/>
      <c r="K22" s="586"/>
      <c r="L22" s="561"/>
      <c r="M22" s="586"/>
      <c r="N22" s="561"/>
      <c r="O22" s="586"/>
      <c r="P22" s="561"/>
      <c r="Q22" s="586"/>
      <c r="R22" s="561"/>
      <c r="S22" s="586"/>
      <c r="T22" s="561"/>
      <c r="U22" s="586"/>
      <c r="V22" s="561"/>
      <c r="W22" s="586"/>
      <c r="X22" s="561"/>
      <c r="Y22" s="586"/>
      <c r="Z22" s="561"/>
      <c r="AA22" s="586"/>
      <c r="AB22" s="561"/>
      <c r="AC22" s="586"/>
      <c r="AD22" s="561"/>
      <c r="AE22" s="586"/>
      <c r="AF22" s="561"/>
      <c r="AG22" s="586"/>
      <c r="AH22" s="561"/>
      <c r="AI22" s="586"/>
      <c r="AJ22" s="561"/>
      <c r="AK22" s="586"/>
      <c r="AL22" s="561"/>
      <c r="AM22" s="586"/>
      <c r="AN22" s="561"/>
      <c r="AO22" s="586"/>
      <c r="AP22" s="561"/>
      <c r="AQ22" s="586"/>
      <c r="AR22" s="561"/>
      <c r="AS22" s="586"/>
      <c r="AT22" s="561"/>
      <c r="AU22" s="586"/>
      <c r="AV22" s="561"/>
      <c r="AW22" s="586"/>
      <c r="AY22" s="229"/>
      <c r="AZ22" s="740">
        <v>14</v>
      </c>
      <c r="BA22" s="747" t="s">
        <v>629</v>
      </c>
      <c r="BB22" s="740" t="s">
        <v>245</v>
      </c>
      <c r="BC22" s="666"/>
      <c r="BD22" s="665"/>
      <c r="BE22" s="666" t="str">
        <f t="shared" si="14"/>
        <v>N/A</v>
      </c>
      <c r="BF22" s="665"/>
      <c r="BG22" s="666" t="str">
        <f t="shared" si="13"/>
        <v>N/A</v>
      </c>
      <c r="BH22" s="666"/>
      <c r="BI22" s="666" t="str">
        <f t="shared" si="0"/>
        <v>N/A</v>
      </c>
      <c r="BJ22" s="666"/>
      <c r="BK22" s="666" t="str">
        <f t="shared" si="1"/>
        <v>N/A</v>
      </c>
      <c r="BL22" s="666"/>
      <c r="BM22" s="666" t="str">
        <f t="shared" si="2"/>
        <v>N/A</v>
      </c>
      <c r="BN22" s="666"/>
      <c r="BO22" s="666" t="str">
        <f t="shared" si="3"/>
        <v>N/A</v>
      </c>
      <c r="BP22" s="666"/>
      <c r="BQ22" s="666" t="str">
        <f t="shared" si="4"/>
        <v>N/A</v>
      </c>
      <c r="BR22" s="666"/>
      <c r="BS22" s="666" t="str">
        <f t="shared" si="5"/>
        <v>N/A</v>
      </c>
      <c r="BT22" s="666"/>
      <c r="BU22" s="666" t="str">
        <f t="shared" si="6"/>
        <v>N/A</v>
      </c>
      <c r="BV22" s="666"/>
      <c r="BW22" s="666" t="str">
        <f t="shared" si="7"/>
        <v>N/A</v>
      </c>
      <c r="BX22" s="666"/>
      <c r="BY22" s="666" t="str">
        <f t="shared" si="8"/>
        <v>N/A</v>
      </c>
      <c r="BZ22" s="666"/>
      <c r="CA22" s="666" t="str">
        <f t="shared" si="9"/>
        <v>N/A</v>
      </c>
      <c r="CB22" s="666"/>
      <c r="CC22" s="666" t="str">
        <f t="shared" si="10"/>
        <v>N/A</v>
      </c>
      <c r="CD22" s="666"/>
      <c r="CE22" s="666" t="str">
        <f t="shared" si="11"/>
        <v>N/A</v>
      </c>
      <c r="CF22" s="666"/>
      <c r="CG22" s="666" t="str">
        <f t="shared" si="12"/>
        <v>N/A</v>
      </c>
      <c r="CH22" s="666"/>
      <c r="CI22" s="666" t="str">
        <f t="shared" si="15"/>
        <v>N/A</v>
      </c>
      <c r="CJ22" s="666"/>
      <c r="CK22" s="666" t="str">
        <f t="shared" si="16"/>
        <v>N/A</v>
      </c>
      <c r="CL22" s="666"/>
      <c r="CM22" s="666" t="str">
        <f t="shared" si="17"/>
        <v>N/A</v>
      </c>
      <c r="CN22" s="666"/>
      <c r="CO22" s="666" t="str">
        <f t="shared" si="18"/>
        <v>N/A</v>
      </c>
      <c r="CP22" s="666"/>
      <c r="CQ22" s="666" t="str">
        <f t="shared" si="19"/>
        <v>N/A</v>
      </c>
      <c r="CR22" s="666"/>
      <c r="CS22" s="666" t="str">
        <f t="shared" si="20"/>
        <v>N/A</v>
      </c>
      <c r="CT22" s="58"/>
      <c r="CU22" s="58"/>
    </row>
    <row r="23" spans="1:99" s="398" customFormat="1" ht="21" customHeight="1">
      <c r="A23" s="225"/>
      <c r="B23" s="383">
        <v>267</v>
      </c>
      <c r="C23" s="389">
        <v>15</v>
      </c>
      <c r="D23" s="397" t="s">
        <v>421</v>
      </c>
      <c r="E23" s="386" t="s">
        <v>327</v>
      </c>
      <c r="F23" s="561"/>
      <c r="G23" s="586"/>
      <c r="H23" s="561"/>
      <c r="I23" s="586"/>
      <c r="J23" s="561"/>
      <c r="K23" s="586"/>
      <c r="L23" s="561"/>
      <c r="M23" s="586"/>
      <c r="N23" s="561"/>
      <c r="O23" s="586"/>
      <c r="P23" s="561"/>
      <c r="Q23" s="586"/>
      <c r="R23" s="561"/>
      <c r="S23" s="586"/>
      <c r="T23" s="561"/>
      <c r="U23" s="586"/>
      <c r="V23" s="561"/>
      <c r="W23" s="586"/>
      <c r="X23" s="561"/>
      <c r="Y23" s="586"/>
      <c r="Z23" s="561"/>
      <c r="AA23" s="586"/>
      <c r="AB23" s="561"/>
      <c r="AC23" s="586"/>
      <c r="AD23" s="561"/>
      <c r="AE23" s="586"/>
      <c r="AF23" s="561"/>
      <c r="AG23" s="586"/>
      <c r="AH23" s="561"/>
      <c r="AI23" s="586"/>
      <c r="AJ23" s="561"/>
      <c r="AK23" s="586"/>
      <c r="AL23" s="561"/>
      <c r="AM23" s="586"/>
      <c r="AN23" s="561"/>
      <c r="AO23" s="586"/>
      <c r="AP23" s="561"/>
      <c r="AQ23" s="586"/>
      <c r="AR23" s="561"/>
      <c r="AS23" s="586"/>
      <c r="AT23" s="561"/>
      <c r="AU23" s="586"/>
      <c r="AV23" s="561"/>
      <c r="AW23" s="586"/>
      <c r="AY23" s="229"/>
      <c r="AZ23" s="740">
        <v>15</v>
      </c>
      <c r="BA23" s="744" t="s">
        <v>24</v>
      </c>
      <c r="BB23" s="740" t="s">
        <v>245</v>
      </c>
      <c r="BC23" s="694" t="s">
        <v>249</v>
      </c>
      <c r="BD23" s="665"/>
      <c r="BE23" s="666" t="str">
        <f t="shared" si="14"/>
        <v>N/A</v>
      </c>
      <c r="BF23" s="665"/>
      <c r="BG23" s="666" t="str">
        <f t="shared" si="13"/>
        <v>N/A</v>
      </c>
      <c r="BH23" s="666"/>
      <c r="BI23" s="666" t="str">
        <f t="shared" si="0"/>
        <v>N/A</v>
      </c>
      <c r="BJ23" s="666"/>
      <c r="BK23" s="666" t="str">
        <f t="shared" si="1"/>
        <v>N/A</v>
      </c>
      <c r="BL23" s="666"/>
      <c r="BM23" s="666" t="str">
        <f t="shared" si="2"/>
        <v>N/A</v>
      </c>
      <c r="BN23" s="666"/>
      <c r="BO23" s="666" t="str">
        <f t="shared" si="3"/>
        <v>N/A</v>
      </c>
      <c r="BP23" s="666"/>
      <c r="BQ23" s="666" t="str">
        <f t="shared" si="4"/>
        <v>N/A</v>
      </c>
      <c r="BR23" s="666"/>
      <c r="BS23" s="666" t="str">
        <f t="shared" si="5"/>
        <v>N/A</v>
      </c>
      <c r="BT23" s="666"/>
      <c r="BU23" s="666" t="str">
        <f t="shared" si="6"/>
        <v>N/A</v>
      </c>
      <c r="BV23" s="666"/>
      <c r="BW23" s="666" t="str">
        <f t="shared" si="7"/>
        <v>N/A</v>
      </c>
      <c r="BX23" s="666"/>
      <c r="BY23" s="666" t="str">
        <f t="shared" si="8"/>
        <v>N/A</v>
      </c>
      <c r="BZ23" s="666"/>
      <c r="CA23" s="666" t="str">
        <f t="shared" si="9"/>
        <v>N/A</v>
      </c>
      <c r="CB23" s="666"/>
      <c r="CC23" s="666" t="str">
        <f t="shared" si="10"/>
        <v>N/A</v>
      </c>
      <c r="CD23" s="666"/>
      <c r="CE23" s="666" t="str">
        <f t="shared" si="11"/>
        <v>N/A</v>
      </c>
      <c r="CF23" s="666"/>
      <c r="CG23" s="666" t="str">
        <f t="shared" si="12"/>
        <v>N/A</v>
      </c>
      <c r="CH23" s="666"/>
      <c r="CI23" s="666" t="str">
        <f t="shared" si="15"/>
        <v>N/A</v>
      </c>
      <c r="CJ23" s="666"/>
      <c r="CK23" s="666" t="str">
        <f t="shared" si="16"/>
        <v>N/A</v>
      </c>
      <c r="CL23" s="666"/>
      <c r="CM23" s="666" t="str">
        <f t="shared" si="17"/>
        <v>N/A</v>
      </c>
      <c r="CN23" s="666"/>
      <c r="CO23" s="666" t="str">
        <f t="shared" si="18"/>
        <v>N/A</v>
      </c>
      <c r="CP23" s="666"/>
      <c r="CQ23" s="666" t="str">
        <f t="shared" si="19"/>
        <v>N/A</v>
      </c>
      <c r="CR23" s="666"/>
      <c r="CS23" s="666" t="str">
        <f t="shared" si="20"/>
        <v>N/A</v>
      </c>
      <c r="CT23" s="58"/>
      <c r="CU23" s="58"/>
    </row>
    <row r="24" spans="1:99" s="398" customFormat="1" ht="21" customHeight="1">
      <c r="A24" s="225"/>
      <c r="B24" s="383">
        <v>69</v>
      </c>
      <c r="C24" s="389">
        <v>16</v>
      </c>
      <c r="D24" s="256" t="s">
        <v>423</v>
      </c>
      <c r="E24" s="386" t="s">
        <v>327</v>
      </c>
      <c r="F24" s="561"/>
      <c r="G24" s="586"/>
      <c r="H24" s="561"/>
      <c r="I24" s="586"/>
      <c r="J24" s="561"/>
      <c r="K24" s="586"/>
      <c r="L24" s="561"/>
      <c r="M24" s="586"/>
      <c r="N24" s="561"/>
      <c r="O24" s="586"/>
      <c r="P24" s="561"/>
      <c r="Q24" s="586"/>
      <c r="R24" s="561"/>
      <c r="S24" s="586"/>
      <c r="T24" s="561"/>
      <c r="U24" s="586"/>
      <c r="V24" s="561"/>
      <c r="W24" s="586"/>
      <c r="X24" s="561"/>
      <c r="Y24" s="586"/>
      <c r="Z24" s="561"/>
      <c r="AA24" s="586"/>
      <c r="AB24" s="561"/>
      <c r="AC24" s="586"/>
      <c r="AD24" s="561"/>
      <c r="AE24" s="586"/>
      <c r="AF24" s="561"/>
      <c r="AG24" s="586"/>
      <c r="AH24" s="561">
        <v>4.69999980926514</v>
      </c>
      <c r="AI24" s="586"/>
      <c r="AJ24" s="561">
        <v>3.90000009536743</v>
      </c>
      <c r="AK24" s="586"/>
      <c r="AL24" s="561">
        <v>3.9</v>
      </c>
      <c r="AM24" s="586"/>
      <c r="AN24" s="561">
        <v>4</v>
      </c>
      <c r="AO24" s="586"/>
      <c r="AP24" s="561">
        <v>4.1</v>
      </c>
      <c r="AQ24" s="586"/>
      <c r="AR24" s="561">
        <v>4.1</v>
      </c>
      <c r="AS24" s="586"/>
      <c r="AT24" s="561">
        <v>5.7</v>
      </c>
      <c r="AU24" s="586"/>
      <c r="AV24" s="561">
        <v>5.7</v>
      </c>
      <c r="AW24" s="586"/>
      <c r="AY24" s="229"/>
      <c r="AZ24" s="740">
        <v>16</v>
      </c>
      <c r="BA24" s="739" t="s">
        <v>15</v>
      </c>
      <c r="BB24" s="740" t="s">
        <v>245</v>
      </c>
      <c r="BC24" s="666" t="s">
        <v>249</v>
      </c>
      <c r="BD24" s="665"/>
      <c r="BE24" s="666" t="str">
        <f t="shared" si="14"/>
        <v>N/A</v>
      </c>
      <c r="BF24" s="665"/>
      <c r="BG24" s="666" t="str">
        <f t="shared" si="13"/>
        <v>N/A</v>
      </c>
      <c r="BH24" s="666"/>
      <c r="BI24" s="666" t="str">
        <f t="shared" si="0"/>
        <v>N/A</v>
      </c>
      <c r="BJ24" s="666"/>
      <c r="BK24" s="666" t="str">
        <f t="shared" si="1"/>
        <v>N/A</v>
      </c>
      <c r="BL24" s="666"/>
      <c r="BM24" s="666" t="str">
        <f t="shared" si="2"/>
        <v>N/A</v>
      </c>
      <c r="BN24" s="666"/>
      <c r="BO24" s="666" t="str">
        <f t="shared" si="3"/>
        <v>N/A</v>
      </c>
      <c r="BP24" s="666"/>
      <c r="BQ24" s="666" t="str">
        <f t="shared" si="4"/>
        <v>N/A</v>
      </c>
      <c r="BR24" s="666"/>
      <c r="BS24" s="666" t="str">
        <f t="shared" si="5"/>
        <v>N/A</v>
      </c>
      <c r="BT24" s="666"/>
      <c r="BU24" s="666" t="str">
        <f t="shared" si="6"/>
        <v>N/A</v>
      </c>
      <c r="BV24" s="666"/>
      <c r="BW24" s="666" t="str">
        <f t="shared" si="7"/>
        <v>N/A</v>
      </c>
      <c r="BX24" s="666"/>
      <c r="BY24" s="666" t="str">
        <f t="shared" si="8"/>
        <v>N/A</v>
      </c>
      <c r="BZ24" s="666"/>
      <c r="CA24" s="666" t="str">
        <f t="shared" si="9"/>
        <v>N/A</v>
      </c>
      <c r="CB24" s="666"/>
      <c r="CC24" s="666" t="str">
        <f t="shared" si="10"/>
        <v>N/A</v>
      </c>
      <c r="CD24" s="666"/>
      <c r="CE24" s="666" t="str">
        <f t="shared" si="11"/>
        <v>N/A</v>
      </c>
      <c r="CF24" s="666"/>
      <c r="CG24" s="666" t="str">
        <f t="shared" si="12"/>
        <v>ok</v>
      </c>
      <c r="CH24" s="666"/>
      <c r="CI24" s="666" t="str">
        <f t="shared" si="15"/>
        <v>ok</v>
      </c>
      <c r="CJ24" s="666"/>
      <c r="CK24" s="666" t="str">
        <f t="shared" si="16"/>
        <v>ok</v>
      </c>
      <c r="CL24" s="666"/>
      <c r="CM24" s="666" t="str">
        <f t="shared" si="17"/>
        <v>ok</v>
      </c>
      <c r="CN24" s="666"/>
      <c r="CO24" s="666" t="str">
        <f t="shared" si="18"/>
        <v>ok</v>
      </c>
      <c r="CP24" s="666"/>
      <c r="CQ24" s="666" t="str">
        <f t="shared" si="19"/>
        <v>&gt; 25%</v>
      </c>
      <c r="CR24" s="666"/>
      <c r="CS24" s="666" t="str">
        <f t="shared" si="20"/>
        <v>ok</v>
      </c>
      <c r="CT24" s="58"/>
      <c r="CU24" s="58"/>
    </row>
    <row r="25" spans="1:99" s="398" customFormat="1" ht="21" customHeight="1">
      <c r="A25" s="225"/>
      <c r="B25" s="383">
        <v>78</v>
      </c>
      <c r="C25" s="389">
        <v>17</v>
      </c>
      <c r="D25" s="256" t="s">
        <v>424</v>
      </c>
      <c r="E25" s="386" t="s">
        <v>327</v>
      </c>
      <c r="F25" s="561"/>
      <c r="G25" s="586"/>
      <c r="H25" s="561"/>
      <c r="I25" s="586"/>
      <c r="J25" s="561"/>
      <c r="K25" s="586"/>
      <c r="L25" s="561"/>
      <c r="M25" s="586"/>
      <c r="N25" s="561"/>
      <c r="O25" s="586"/>
      <c r="P25" s="561"/>
      <c r="Q25" s="586"/>
      <c r="R25" s="561"/>
      <c r="S25" s="586"/>
      <c r="T25" s="561"/>
      <c r="U25" s="586"/>
      <c r="V25" s="561"/>
      <c r="W25" s="586"/>
      <c r="X25" s="561"/>
      <c r="Y25" s="586"/>
      <c r="Z25" s="561"/>
      <c r="AA25" s="586"/>
      <c r="AB25" s="561"/>
      <c r="AC25" s="586"/>
      <c r="AD25" s="561"/>
      <c r="AE25" s="586"/>
      <c r="AF25" s="561"/>
      <c r="AG25" s="586"/>
      <c r="AH25" s="561"/>
      <c r="AI25" s="586"/>
      <c r="AJ25" s="561"/>
      <c r="AK25" s="586"/>
      <c r="AL25" s="561"/>
      <c r="AM25" s="586"/>
      <c r="AN25" s="561"/>
      <c r="AO25" s="586"/>
      <c r="AP25" s="561"/>
      <c r="AQ25" s="586"/>
      <c r="AR25" s="561"/>
      <c r="AS25" s="586"/>
      <c r="AT25" s="561"/>
      <c r="AU25" s="586"/>
      <c r="AV25" s="561"/>
      <c r="AW25" s="586"/>
      <c r="AY25" s="229"/>
      <c r="AZ25" s="740">
        <v>17</v>
      </c>
      <c r="BA25" s="739" t="s">
        <v>198</v>
      </c>
      <c r="BB25" s="740" t="s">
        <v>245</v>
      </c>
      <c r="BC25" s="666" t="s">
        <v>249</v>
      </c>
      <c r="BD25" s="665"/>
      <c r="BE25" s="666" t="str">
        <f t="shared" si="14"/>
        <v>N/A</v>
      </c>
      <c r="BF25" s="665"/>
      <c r="BG25" s="666" t="str">
        <f t="shared" si="13"/>
        <v>N/A</v>
      </c>
      <c r="BH25" s="666"/>
      <c r="BI25" s="666" t="str">
        <f t="shared" si="0"/>
        <v>N/A</v>
      </c>
      <c r="BJ25" s="666"/>
      <c r="BK25" s="666" t="str">
        <f t="shared" si="1"/>
        <v>N/A</v>
      </c>
      <c r="BL25" s="666"/>
      <c r="BM25" s="666" t="str">
        <f t="shared" si="2"/>
        <v>N/A</v>
      </c>
      <c r="BN25" s="666"/>
      <c r="BO25" s="666" t="str">
        <f t="shared" si="3"/>
        <v>N/A</v>
      </c>
      <c r="BP25" s="666"/>
      <c r="BQ25" s="666" t="str">
        <f t="shared" si="4"/>
        <v>N/A</v>
      </c>
      <c r="BR25" s="666"/>
      <c r="BS25" s="666" t="str">
        <f t="shared" si="5"/>
        <v>N/A</v>
      </c>
      <c r="BT25" s="666"/>
      <c r="BU25" s="666" t="str">
        <f t="shared" si="6"/>
        <v>N/A</v>
      </c>
      <c r="BV25" s="666"/>
      <c r="BW25" s="666" t="str">
        <f t="shared" si="7"/>
        <v>N/A</v>
      </c>
      <c r="BX25" s="666"/>
      <c r="BY25" s="666" t="str">
        <f t="shared" si="8"/>
        <v>N/A</v>
      </c>
      <c r="BZ25" s="666"/>
      <c r="CA25" s="666" t="str">
        <f t="shared" si="9"/>
        <v>N/A</v>
      </c>
      <c r="CB25" s="666"/>
      <c r="CC25" s="666" t="str">
        <f t="shared" si="10"/>
        <v>N/A</v>
      </c>
      <c r="CD25" s="666"/>
      <c r="CE25" s="666" t="str">
        <f t="shared" si="11"/>
        <v>N/A</v>
      </c>
      <c r="CF25" s="666"/>
      <c r="CG25" s="666" t="str">
        <f t="shared" si="12"/>
        <v>N/A</v>
      </c>
      <c r="CH25" s="666"/>
      <c r="CI25" s="666" t="str">
        <f t="shared" si="15"/>
        <v>N/A</v>
      </c>
      <c r="CJ25" s="666"/>
      <c r="CK25" s="666" t="str">
        <f t="shared" si="16"/>
        <v>N/A</v>
      </c>
      <c r="CL25" s="666"/>
      <c r="CM25" s="666" t="str">
        <f t="shared" si="17"/>
        <v>N/A</v>
      </c>
      <c r="CN25" s="666"/>
      <c r="CO25" s="666" t="str">
        <f t="shared" si="18"/>
        <v>N/A</v>
      </c>
      <c r="CP25" s="666"/>
      <c r="CQ25" s="666" t="str">
        <f t="shared" si="19"/>
        <v>N/A</v>
      </c>
      <c r="CR25" s="666"/>
      <c r="CS25" s="666" t="str">
        <f t="shared" si="20"/>
        <v>N/A</v>
      </c>
      <c r="CT25" s="58"/>
      <c r="CU25" s="58"/>
    </row>
    <row r="26" spans="1:99" s="398" customFormat="1" ht="21" customHeight="1">
      <c r="A26" s="225"/>
      <c r="B26" s="383">
        <v>2434</v>
      </c>
      <c r="C26" s="389">
        <v>18</v>
      </c>
      <c r="D26" s="256" t="s">
        <v>425</v>
      </c>
      <c r="E26" s="386" t="s">
        <v>327</v>
      </c>
      <c r="F26" s="561">
        <v>38.0999984741211</v>
      </c>
      <c r="G26" s="586"/>
      <c r="H26" s="561">
        <v>37</v>
      </c>
      <c r="I26" s="586"/>
      <c r="J26" s="561">
        <v>38.4000015258789</v>
      </c>
      <c r="K26" s="586"/>
      <c r="L26" s="561">
        <v>43.0999984741211</v>
      </c>
      <c r="M26" s="586"/>
      <c r="N26" s="561">
        <v>42.5999984741211</v>
      </c>
      <c r="O26" s="586"/>
      <c r="P26" s="561">
        <v>42.2000007629395</v>
      </c>
      <c r="Q26" s="586"/>
      <c r="R26" s="561">
        <v>43.9000015258789</v>
      </c>
      <c r="S26" s="586"/>
      <c r="T26" s="561">
        <v>49.5999984741211</v>
      </c>
      <c r="U26" s="586"/>
      <c r="V26" s="561">
        <v>52.7000007629395</v>
      </c>
      <c r="W26" s="586"/>
      <c r="X26" s="561">
        <v>57.4000015258789</v>
      </c>
      <c r="Y26" s="586"/>
      <c r="Z26" s="561">
        <v>60.2999992370605</v>
      </c>
      <c r="AA26" s="586"/>
      <c r="AB26" s="561">
        <v>57</v>
      </c>
      <c r="AC26" s="586"/>
      <c r="AD26" s="561">
        <v>56.5999984741211</v>
      </c>
      <c r="AE26" s="586"/>
      <c r="AF26" s="561">
        <v>63.2999992370605</v>
      </c>
      <c r="AG26" s="586"/>
      <c r="AH26" s="561">
        <v>63.5</v>
      </c>
      <c r="AI26" s="586"/>
      <c r="AJ26" s="561">
        <v>70.1999969482422</v>
      </c>
      <c r="AK26" s="586"/>
      <c r="AL26" s="561">
        <v>79.1</v>
      </c>
      <c r="AM26" s="586"/>
      <c r="AN26" s="561">
        <v>83.2</v>
      </c>
      <c r="AO26" s="586"/>
      <c r="AP26" s="561">
        <v>85.7</v>
      </c>
      <c r="AQ26" s="586"/>
      <c r="AR26" s="561">
        <v>84.2</v>
      </c>
      <c r="AS26" s="586"/>
      <c r="AT26" s="561">
        <v>90.3</v>
      </c>
      <c r="AU26" s="586"/>
      <c r="AV26" s="561">
        <v>94.9</v>
      </c>
      <c r="AW26" s="586"/>
      <c r="AY26" s="229"/>
      <c r="AZ26" s="740">
        <v>18</v>
      </c>
      <c r="BA26" s="739" t="s">
        <v>197</v>
      </c>
      <c r="BB26" s="740" t="s">
        <v>245</v>
      </c>
      <c r="BC26" s="666" t="s">
        <v>249</v>
      </c>
      <c r="BD26" s="665"/>
      <c r="BE26" s="666" t="str">
        <f t="shared" si="14"/>
        <v>ok</v>
      </c>
      <c r="BF26" s="665"/>
      <c r="BG26" s="666" t="str">
        <f t="shared" si="13"/>
        <v>ok</v>
      </c>
      <c r="BH26" s="666"/>
      <c r="BI26" s="666" t="str">
        <f t="shared" si="0"/>
        <v>ok</v>
      </c>
      <c r="BJ26" s="666"/>
      <c r="BK26" s="666" t="str">
        <f t="shared" si="1"/>
        <v>ok</v>
      </c>
      <c r="BL26" s="666"/>
      <c r="BM26" s="666" t="str">
        <f t="shared" si="2"/>
        <v>ok</v>
      </c>
      <c r="BN26" s="666"/>
      <c r="BO26" s="666" t="str">
        <f t="shared" si="3"/>
        <v>ok</v>
      </c>
      <c r="BP26" s="666"/>
      <c r="BQ26" s="666" t="str">
        <f t="shared" si="4"/>
        <v>ok</v>
      </c>
      <c r="BR26" s="666"/>
      <c r="BS26" s="666" t="str">
        <f t="shared" si="5"/>
        <v>ok</v>
      </c>
      <c r="BT26" s="666"/>
      <c r="BU26" s="666" t="str">
        <f t="shared" si="6"/>
        <v>ok</v>
      </c>
      <c r="BV26" s="666"/>
      <c r="BW26" s="666" t="str">
        <f t="shared" si="7"/>
        <v>ok</v>
      </c>
      <c r="BX26" s="666"/>
      <c r="BY26" s="666" t="str">
        <f t="shared" si="8"/>
        <v>ok</v>
      </c>
      <c r="BZ26" s="666"/>
      <c r="CA26" s="666" t="str">
        <f t="shared" si="9"/>
        <v>ok</v>
      </c>
      <c r="CB26" s="666"/>
      <c r="CC26" s="666" t="str">
        <f t="shared" si="10"/>
        <v>ok</v>
      </c>
      <c r="CD26" s="666"/>
      <c r="CE26" s="666" t="str">
        <f t="shared" si="11"/>
        <v>ok</v>
      </c>
      <c r="CF26" s="666"/>
      <c r="CG26" s="666" t="str">
        <f t="shared" si="12"/>
        <v>ok</v>
      </c>
      <c r="CH26" s="666"/>
      <c r="CI26" s="666" t="str">
        <f t="shared" si="15"/>
        <v>ok</v>
      </c>
      <c r="CJ26" s="666"/>
      <c r="CK26" s="666" t="str">
        <f t="shared" si="16"/>
        <v>ok</v>
      </c>
      <c r="CL26" s="666"/>
      <c r="CM26" s="666" t="str">
        <f t="shared" si="17"/>
        <v>ok</v>
      </c>
      <c r="CN26" s="666"/>
      <c r="CO26" s="666" t="str">
        <f t="shared" si="18"/>
        <v>ok</v>
      </c>
      <c r="CP26" s="666"/>
      <c r="CQ26" s="666" t="str">
        <f t="shared" si="19"/>
        <v>ok</v>
      </c>
      <c r="CR26" s="666"/>
      <c r="CS26" s="666" t="str">
        <f t="shared" si="20"/>
        <v>ok</v>
      </c>
      <c r="CT26" s="58"/>
      <c r="CU26" s="58"/>
    </row>
    <row r="27" spans="1:99" s="398" customFormat="1" ht="21" customHeight="1">
      <c r="A27" s="225"/>
      <c r="B27" s="383">
        <v>2435</v>
      </c>
      <c r="C27" s="389">
        <v>19</v>
      </c>
      <c r="D27" s="256" t="s">
        <v>352</v>
      </c>
      <c r="E27" s="386" t="s">
        <v>327</v>
      </c>
      <c r="F27" s="561"/>
      <c r="G27" s="586"/>
      <c r="H27" s="561"/>
      <c r="I27" s="586"/>
      <c r="J27" s="561"/>
      <c r="K27" s="586"/>
      <c r="L27" s="561"/>
      <c r="M27" s="586"/>
      <c r="N27" s="561"/>
      <c r="O27" s="586"/>
      <c r="P27" s="561"/>
      <c r="Q27" s="586"/>
      <c r="R27" s="561"/>
      <c r="S27" s="586"/>
      <c r="T27" s="561"/>
      <c r="U27" s="586"/>
      <c r="V27" s="561"/>
      <c r="W27" s="586"/>
      <c r="X27" s="561"/>
      <c r="Y27" s="586"/>
      <c r="Z27" s="561"/>
      <c r="AA27" s="586"/>
      <c r="AB27" s="561"/>
      <c r="AC27" s="586"/>
      <c r="AD27" s="561"/>
      <c r="AE27" s="586"/>
      <c r="AF27" s="561"/>
      <c r="AG27" s="586"/>
      <c r="AH27" s="561"/>
      <c r="AI27" s="586"/>
      <c r="AJ27" s="561"/>
      <c r="AK27" s="586"/>
      <c r="AL27" s="561"/>
      <c r="AM27" s="586"/>
      <c r="AN27" s="561"/>
      <c r="AO27" s="586"/>
      <c r="AP27" s="561"/>
      <c r="AQ27" s="586"/>
      <c r="AR27" s="561"/>
      <c r="AS27" s="586"/>
      <c r="AT27" s="561"/>
      <c r="AU27" s="586"/>
      <c r="AV27" s="561"/>
      <c r="AW27" s="586"/>
      <c r="AY27" s="229"/>
      <c r="AZ27" s="740">
        <v>19</v>
      </c>
      <c r="BA27" s="739" t="s">
        <v>251</v>
      </c>
      <c r="BB27" s="740" t="s">
        <v>245</v>
      </c>
      <c r="BC27" s="666" t="s">
        <v>249</v>
      </c>
      <c r="BD27" s="665"/>
      <c r="BE27" s="666" t="str">
        <f t="shared" si="14"/>
        <v>N/A</v>
      </c>
      <c r="BF27" s="665"/>
      <c r="BG27" s="666" t="str">
        <f t="shared" si="13"/>
        <v>N/A</v>
      </c>
      <c r="BH27" s="666"/>
      <c r="BI27" s="666" t="str">
        <f t="shared" si="0"/>
        <v>N/A</v>
      </c>
      <c r="BJ27" s="666"/>
      <c r="BK27" s="666" t="str">
        <f t="shared" si="1"/>
        <v>N/A</v>
      </c>
      <c r="BL27" s="666"/>
      <c r="BM27" s="666" t="str">
        <f t="shared" si="2"/>
        <v>N/A</v>
      </c>
      <c r="BN27" s="666"/>
      <c r="BO27" s="666" t="str">
        <f t="shared" si="3"/>
        <v>N/A</v>
      </c>
      <c r="BP27" s="666"/>
      <c r="BQ27" s="666" t="str">
        <f t="shared" si="4"/>
        <v>N/A</v>
      </c>
      <c r="BR27" s="666"/>
      <c r="BS27" s="666" t="str">
        <f t="shared" si="5"/>
        <v>N/A</v>
      </c>
      <c r="BT27" s="666"/>
      <c r="BU27" s="666" t="str">
        <f t="shared" si="6"/>
        <v>N/A</v>
      </c>
      <c r="BV27" s="666"/>
      <c r="BW27" s="666" t="str">
        <f t="shared" si="7"/>
        <v>N/A</v>
      </c>
      <c r="BX27" s="666"/>
      <c r="BY27" s="666" t="str">
        <f t="shared" si="8"/>
        <v>N/A</v>
      </c>
      <c r="BZ27" s="666"/>
      <c r="CA27" s="666" t="str">
        <f t="shared" si="9"/>
        <v>N/A</v>
      </c>
      <c r="CB27" s="666"/>
      <c r="CC27" s="666" t="str">
        <f t="shared" si="10"/>
        <v>N/A</v>
      </c>
      <c r="CD27" s="666"/>
      <c r="CE27" s="666" t="str">
        <f t="shared" si="11"/>
        <v>N/A</v>
      </c>
      <c r="CF27" s="666"/>
      <c r="CG27" s="666" t="str">
        <f t="shared" si="12"/>
        <v>N/A</v>
      </c>
      <c r="CH27" s="666"/>
      <c r="CI27" s="666" t="str">
        <f t="shared" si="15"/>
        <v>N/A</v>
      </c>
      <c r="CJ27" s="666"/>
      <c r="CK27" s="666" t="str">
        <f t="shared" si="16"/>
        <v>N/A</v>
      </c>
      <c r="CL27" s="666"/>
      <c r="CM27" s="666" t="str">
        <f t="shared" si="17"/>
        <v>N/A</v>
      </c>
      <c r="CN27" s="666"/>
      <c r="CO27" s="666" t="str">
        <f t="shared" si="18"/>
        <v>N/A</v>
      </c>
      <c r="CP27" s="666"/>
      <c r="CQ27" s="666" t="str">
        <f t="shared" si="19"/>
        <v>N/A</v>
      </c>
      <c r="CR27" s="666"/>
      <c r="CS27" s="666" t="str">
        <f t="shared" si="20"/>
        <v>N/A</v>
      </c>
      <c r="CT27" s="58"/>
      <c r="CU27" s="58"/>
    </row>
    <row r="28" spans="1:99" s="401" customFormat="1" ht="21" customHeight="1">
      <c r="A28" s="399" t="s">
        <v>239</v>
      </c>
      <c r="B28" s="392">
        <v>79</v>
      </c>
      <c r="C28" s="393">
        <v>20</v>
      </c>
      <c r="D28" s="400" t="s">
        <v>688</v>
      </c>
      <c r="E28" s="386" t="s">
        <v>327</v>
      </c>
      <c r="F28" s="561"/>
      <c r="G28" s="586"/>
      <c r="H28" s="561">
        <v>244</v>
      </c>
      <c r="I28" s="586"/>
      <c r="J28" s="561">
        <v>279.399993896484</v>
      </c>
      <c r="K28" s="586"/>
      <c r="L28" s="561">
        <v>43.0999984741211</v>
      </c>
      <c r="M28" s="586"/>
      <c r="N28" s="561">
        <v>291.600006103516</v>
      </c>
      <c r="O28" s="586"/>
      <c r="P28" s="561">
        <v>310.200012207031</v>
      </c>
      <c r="Q28" s="586"/>
      <c r="R28" s="561">
        <v>319.100006103516</v>
      </c>
      <c r="S28" s="586"/>
      <c r="T28" s="561">
        <v>335.600006103516</v>
      </c>
      <c r="U28" s="586"/>
      <c r="V28" s="561">
        <v>303.600006103516</v>
      </c>
      <c r="W28" s="586"/>
      <c r="X28" s="561">
        <v>315.200012207031</v>
      </c>
      <c r="Y28" s="586"/>
      <c r="Z28" s="561">
        <v>331.100006103516</v>
      </c>
      <c r="AA28" s="586"/>
      <c r="AB28" s="561">
        <v>323.899993896484</v>
      </c>
      <c r="AC28" s="586"/>
      <c r="AD28" s="561">
        <v>349.200012207031</v>
      </c>
      <c r="AE28" s="586"/>
      <c r="AF28" s="561">
        <v>365.700012207031</v>
      </c>
      <c r="AG28" s="586"/>
      <c r="AH28" s="561">
        <v>342.700012207031</v>
      </c>
      <c r="AI28" s="586"/>
      <c r="AJ28" s="561">
        <v>365.299987792969</v>
      </c>
      <c r="AK28" s="586"/>
      <c r="AL28" s="561">
        <v>363.6</v>
      </c>
      <c r="AM28" s="586"/>
      <c r="AN28" s="561">
        <v>375.2</v>
      </c>
      <c r="AO28" s="586"/>
      <c r="AP28" s="561">
        <v>389.5</v>
      </c>
      <c r="AQ28" s="586"/>
      <c r="AR28" s="561">
        <v>417.90000000000003</v>
      </c>
      <c r="AS28" s="586"/>
      <c r="AT28" s="561">
        <v>448.4</v>
      </c>
      <c r="AU28" s="586"/>
      <c r="AV28" s="561">
        <v>437.20000000000005</v>
      </c>
      <c r="AW28" s="586"/>
      <c r="AY28" s="402"/>
      <c r="AZ28" s="741">
        <v>20</v>
      </c>
      <c r="BA28" s="742" t="s">
        <v>705</v>
      </c>
      <c r="BB28" s="740" t="s">
        <v>245</v>
      </c>
      <c r="BC28" s="666" t="s">
        <v>249</v>
      </c>
      <c r="BD28" s="695"/>
      <c r="BE28" s="666" t="str">
        <f t="shared" si="14"/>
        <v>N/A</v>
      </c>
      <c r="BF28" s="695"/>
      <c r="BG28" s="666" t="str">
        <f t="shared" si="13"/>
        <v>ok</v>
      </c>
      <c r="BH28" s="666"/>
      <c r="BI28" s="666" t="str">
        <f t="shared" si="0"/>
        <v>&gt; 25%</v>
      </c>
      <c r="BJ28" s="666"/>
      <c r="BK28" s="666" t="str">
        <f t="shared" si="1"/>
        <v>&gt; 25%</v>
      </c>
      <c r="BL28" s="666"/>
      <c r="BM28" s="666" t="str">
        <f t="shared" si="2"/>
        <v>ok</v>
      </c>
      <c r="BN28" s="666"/>
      <c r="BO28" s="666" t="str">
        <f t="shared" si="3"/>
        <v>ok</v>
      </c>
      <c r="BP28" s="666"/>
      <c r="BQ28" s="666" t="str">
        <f t="shared" si="4"/>
        <v>ok</v>
      </c>
      <c r="BR28" s="666"/>
      <c r="BS28" s="666" t="str">
        <f t="shared" si="5"/>
        <v>ok</v>
      </c>
      <c r="BT28" s="666"/>
      <c r="BU28" s="666" t="str">
        <f t="shared" si="6"/>
        <v>ok</v>
      </c>
      <c r="BV28" s="666"/>
      <c r="BW28" s="666" t="str">
        <f t="shared" si="7"/>
        <v>ok</v>
      </c>
      <c r="BX28" s="666"/>
      <c r="BY28" s="666" t="str">
        <f t="shared" si="8"/>
        <v>ok</v>
      </c>
      <c r="BZ28" s="666"/>
      <c r="CA28" s="666" t="str">
        <f t="shared" si="9"/>
        <v>ok</v>
      </c>
      <c r="CB28" s="666"/>
      <c r="CC28" s="666" t="str">
        <f t="shared" si="10"/>
        <v>ok</v>
      </c>
      <c r="CD28" s="666"/>
      <c r="CE28" s="666" t="str">
        <f t="shared" si="11"/>
        <v>ok</v>
      </c>
      <c r="CF28" s="666"/>
      <c r="CG28" s="666" t="str">
        <f t="shared" si="12"/>
        <v>ok</v>
      </c>
      <c r="CH28" s="666"/>
      <c r="CI28" s="666" t="str">
        <f t="shared" si="15"/>
        <v>ok</v>
      </c>
      <c r="CJ28" s="666"/>
      <c r="CK28" s="666" t="str">
        <f t="shared" si="16"/>
        <v>ok</v>
      </c>
      <c r="CL28" s="666"/>
      <c r="CM28" s="666" t="str">
        <f t="shared" si="17"/>
        <v>ok</v>
      </c>
      <c r="CN28" s="666"/>
      <c r="CO28" s="666" t="str">
        <f t="shared" si="18"/>
        <v>ok</v>
      </c>
      <c r="CP28" s="666"/>
      <c r="CQ28" s="666" t="str">
        <f t="shared" si="19"/>
        <v>ok</v>
      </c>
      <c r="CR28" s="666"/>
      <c r="CS28" s="666" t="str">
        <f t="shared" si="20"/>
        <v>ok</v>
      </c>
      <c r="CT28" s="84"/>
      <c r="CU28" s="84"/>
    </row>
    <row r="29" spans="1:99" s="401" customFormat="1" ht="21" customHeight="1">
      <c r="A29" s="403"/>
      <c r="B29" s="392">
        <v>34</v>
      </c>
      <c r="C29" s="389">
        <v>21</v>
      </c>
      <c r="D29" s="256" t="s">
        <v>353</v>
      </c>
      <c r="E29" s="386" t="s">
        <v>327</v>
      </c>
      <c r="F29" s="561"/>
      <c r="G29" s="586"/>
      <c r="H29" s="561"/>
      <c r="I29" s="586"/>
      <c r="J29" s="561"/>
      <c r="K29" s="586"/>
      <c r="L29" s="561"/>
      <c r="M29" s="586"/>
      <c r="N29" s="561"/>
      <c r="O29" s="586"/>
      <c r="P29" s="561"/>
      <c r="Q29" s="586"/>
      <c r="R29" s="561"/>
      <c r="S29" s="586"/>
      <c r="T29" s="561"/>
      <c r="U29" s="586"/>
      <c r="V29" s="561"/>
      <c r="W29" s="586"/>
      <c r="X29" s="561"/>
      <c r="Y29" s="586"/>
      <c r="Z29" s="561">
        <v>24.7000007629395</v>
      </c>
      <c r="AA29" s="586" t="s">
        <v>716</v>
      </c>
      <c r="AB29" s="561">
        <v>26.1000003814697</v>
      </c>
      <c r="AC29" s="586" t="s">
        <v>716</v>
      </c>
      <c r="AD29" s="561">
        <v>77</v>
      </c>
      <c r="AE29" s="586"/>
      <c r="AF29" s="561">
        <v>76.0999984741211</v>
      </c>
      <c r="AG29" s="586"/>
      <c r="AH29" s="561">
        <v>65</v>
      </c>
      <c r="AI29" s="586"/>
      <c r="AJ29" s="561">
        <v>80.1999969482422</v>
      </c>
      <c r="AK29" s="586"/>
      <c r="AL29" s="561">
        <v>70.2</v>
      </c>
      <c r="AM29" s="586"/>
      <c r="AN29" s="561">
        <v>67.7</v>
      </c>
      <c r="AO29" s="586"/>
      <c r="AP29" s="561">
        <v>66.4</v>
      </c>
      <c r="AQ29" s="586"/>
      <c r="AR29" s="561">
        <v>85.3</v>
      </c>
      <c r="AS29" s="586"/>
      <c r="AT29" s="561">
        <v>83.1</v>
      </c>
      <c r="AU29" s="586"/>
      <c r="AV29" s="561">
        <v>87.7</v>
      </c>
      <c r="AW29" s="586"/>
      <c r="AY29" s="402"/>
      <c r="AZ29" s="741">
        <v>21</v>
      </c>
      <c r="BA29" s="742" t="s">
        <v>207</v>
      </c>
      <c r="BB29" s="740" t="s">
        <v>245</v>
      </c>
      <c r="BC29" s="666" t="s">
        <v>249</v>
      </c>
      <c r="BD29" s="695"/>
      <c r="BE29" s="666" t="str">
        <f t="shared" si="14"/>
        <v>N/A</v>
      </c>
      <c r="BF29" s="695"/>
      <c r="BG29" s="666" t="str">
        <f t="shared" si="13"/>
        <v>N/A</v>
      </c>
      <c r="BH29" s="666"/>
      <c r="BI29" s="666" t="str">
        <f t="shared" si="0"/>
        <v>N/A</v>
      </c>
      <c r="BJ29" s="666"/>
      <c r="BK29" s="666" t="str">
        <f t="shared" si="1"/>
        <v>N/A</v>
      </c>
      <c r="BL29" s="666"/>
      <c r="BM29" s="666" t="str">
        <f t="shared" si="2"/>
        <v>N/A</v>
      </c>
      <c r="BN29" s="666"/>
      <c r="BO29" s="666" t="str">
        <f t="shared" si="3"/>
        <v>N/A</v>
      </c>
      <c r="BP29" s="666"/>
      <c r="BQ29" s="666" t="str">
        <f t="shared" si="4"/>
        <v>N/A</v>
      </c>
      <c r="BR29" s="666"/>
      <c r="BS29" s="666" t="str">
        <f t="shared" si="5"/>
        <v>N/A</v>
      </c>
      <c r="BT29" s="666"/>
      <c r="BU29" s="666" t="str">
        <f t="shared" si="6"/>
        <v>N/A</v>
      </c>
      <c r="BV29" s="666"/>
      <c r="BW29" s="666" t="str">
        <f t="shared" si="7"/>
        <v>N/A</v>
      </c>
      <c r="BX29" s="666"/>
      <c r="BY29" s="666" t="str">
        <f t="shared" si="8"/>
        <v>ok</v>
      </c>
      <c r="BZ29" s="666"/>
      <c r="CA29" s="666" t="str">
        <f t="shared" si="9"/>
        <v>&gt; 25%</v>
      </c>
      <c r="CB29" s="666"/>
      <c r="CC29" s="666" t="str">
        <f t="shared" si="10"/>
        <v>ok</v>
      </c>
      <c r="CD29" s="666"/>
      <c r="CE29" s="666" t="str">
        <f t="shared" si="11"/>
        <v>ok</v>
      </c>
      <c r="CF29" s="666"/>
      <c r="CG29" s="666" t="str">
        <f t="shared" si="12"/>
        <v>ok</v>
      </c>
      <c r="CH29" s="666"/>
      <c r="CI29" s="666" t="str">
        <f t="shared" si="15"/>
        <v>ok</v>
      </c>
      <c r="CJ29" s="666"/>
      <c r="CK29" s="666" t="str">
        <f t="shared" si="16"/>
        <v>ok</v>
      </c>
      <c r="CL29" s="666"/>
      <c r="CM29" s="666" t="str">
        <f t="shared" si="17"/>
        <v>ok</v>
      </c>
      <c r="CN29" s="666"/>
      <c r="CO29" s="666" t="str">
        <f t="shared" si="18"/>
        <v>&gt; 25%</v>
      </c>
      <c r="CP29" s="666"/>
      <c r="CQ29" s="666" t="str">
        <f t="shared" si="19"/>
        <v>ok</v>
      </c>
      <c r="CR29" s="666"/>
      <c r="CS29" s="666" t="str">
        <f t="shared" si="20"/>
        <v>ok</v>
      </c>
      <c r="CT29" s="84"/>
      <c r="CU29" s="84"/>
    </row>
    <row r="30" spans="1:99" s="401" customFormat="1" ht="21" customHeight="1">
      <c r="A30" s="403" t="s">
        <v>239</v>
      </c>
      <c r="B30" s="392">
        <v>35</v>
      </c>
      <c r="C30" s="393">
        <v>22</v>
      </c>
      <c r="D30" s="400" t="s">
        <v>689</v>
      </c>
      <c r="E30" s="386" t="s">
        <v>327</v>
      </c>
      <c r="F30" s="561"/>
      <c r="G30" s="586"/>
      <c r="H30" s="561"/>
      <c r="I30" s="586"/>
      <c r="J30" s="561"/>
      <c r="K30" s="586"/>
      <c r="L30" s="561"/>
      <c r="M30" s="586"/>
      <c r="N30" s="561"/>
      <c r="O30" s="586"/>
      <c r="P30" s="561"/>
      <c r="Q30" s="586"/>
      <c r="R30" s="561"/>
      <c r="S30" s="586"/>
      <c r="T30" s="561"/>
      <c r="U30" s="586"/>
      <c r="V30" s="561"/>
      <c r="W30" s="586"/>
      <c r="X30" s="561"/>
      <c r="Y30" s="586"/>
      <c r="Z30" s="561">
        <v>306.600006103516</v>
      </c>
      <c r="AA30" s="586"/>
      <c r="AB30" s="561">
        <v>297.799987792969</v>
      </c>
      <c r="AC30" s="586"/>
      <c r="AD30" s="561">
        <v>272.600006103516</v>
      </c>
      <c r="AE30" s="586"/>
      <c r="AF30" s="561">
        <v>289.600006103516</v>
      </c>
      <c r="AG30" s="586"/>
      <c r="AH30" s="561">
        <v>277.700012207031</v>
      </c>
      <c r="AI30" s="586"/>
      <c r="AJ30" s="561">
        <v>285.100006103516</v>
      </c>
      <c r="AK30" s="586"/>
      <c r="AL30" s="561">
        <v>293.40000000000003</v>
      </c>
      <c r="AM30" s="586"/>
      <c r="AN30" s="561">
        <v>307.5</v>
      </c>
      <c r="AO30" s="586"/>
      <c r="AP30" s="561">
        <v>323.1</v>
      </c>
      <c r="AQ30" s="586"/>
      <c r="AR30" s="561">
        <v>332.6</v>
      </c>
      <c r="AS30" s="586"/>
      <c r="AT30" s="561">
        <v>365.29999999999995</v>
      </c>
      <c r="AU30" s="586"/>
      <c r="AV30" s="561">
        <v>349.50000000000006</v>
      </c>
      <c r="AW30" s="586"/>
      <c r="AY30" s="402"/>
      <c r="AZ30" s="741">
        <v>22</v>
      </c>
      <c r="BA30" s="742" t="s">
        <v>706</v>
      </c>
      <c r="BB30" s="740" t="s">
        <v>245</v>
      </c>
      <c r="BC30" s="694" t="s">
        <v>249</v>
      </c>
      <c r="BD30" s="695"/>
      <c r="BE30" s="666" t="str">
        <f t="shared" si="14"/>
        <v>N/A</v>
      </c>
      <c r="BF30" s="695"/>
      <c r="BG30" s="666" t="str">
        <f t="shared" si="13"/>
        <v>N/A</v>
      </c>
      <c r="BH30" s="666"/>
      <c r="BI30" s="666" t="str">
        <f t="shared" si="0"/>
        <v>N/A</v>
      </c>
      <c r="BJ30" s="666"/>
      <c r="BK30" s="666" t="str">
        <f t="shared" si="1"/>
        <v>N/A</v>
      </c>
      <c r="BL30" s="666"/>
      <c r="BM30" s="666" t="str">
        <f t="shared" si="2"/>
        <v>N/A</v>
      </c>
      <c r="BN30" s="666"/>
      <c r="BO30" s="666" t="str">
        <f t="shared" si="3"/>
        <v>N/A</v>
      </c>
      <c r="BP30" s="666"/>
      <c r="BQ30" s="666" t="str">
        <f t="shared" si="4"/>
        <v>N/A</v>
      </c>
      <c r="BR30" s="666"/>
      <c r="BS30" s="666" t="str">
        <f t="shared" si="5"/>
        <v>N/A</v>
      </c>
      <c r="BT30" s="666"/>
      <c r="BU30" s="666" t="str">
        <f t="shared" si="6"/>
        <v>N/A</v>
      </c>
      <c r="BV30" s="666"/>
      <c r="BW30" s="666" t="str">
        <f t="shared" si="7"/>
        <v>N/A</v>
      </c>
      <c r="BX30" s="666"/>
      <c r="BY30" s="666" t="str">
        <f t="shared" si="8"/>
        <v>ok</v>
      </c>
      <c r="BZ30" s="666"/>
      <c r="CA30" s="666" t="str">
        <f t="shared" si="9"/>
        <v>ok</v>
      </c>
      <c r="CB30" s="666"/>
      <c r="CC30" s="666" t="str">
        <f t="shared" si="10"/>
        <v>ok</v>
      </c>
      <c r="CD30" s="666"/>
      <c r="CE30" s="666" t="str">
        <f t="shared" si="11"/>
        <v>ok</v>
      </c>
      <c r="CF30" s="666"/>
      <c r="CG30" s="666" t="str">
        <f t="shared" si="12"/>
        <v>ok</v>
      </c>
      <c r="CH30" s="666"/>
      <c r="CI30" s="666" t="str">
        <f t="shared" si="15"/>
        <v>ok</v>
      </c>
      <c r="CJ30" s="666"/>
      <c r="CK30" s="666" t="str">
        <f t="shared" si="16"/>
        <v>ok</v>
      </c>
      <c r="CL30" s="666"/>
      <c r="CM30" s="666" t="str">
        <f t="shared" si="17"/>
        <v>ok</v>
      </c>
      <c r="CN30" s="666"/>
      <c r="CO30" s="666" t="str">
        <f t="shared" si="18"/>
        <v>ok</v>
      </c>
      <c r="CP30" s="666"/>
      <c r="CQ30" s="666" t="str">
        <f t="shared" si="19"/>
        <v>ok</v>
      </c>
      <c r="CR30" s="666"/>
      <c r="CS30" s="666" t="str">
        <f t="shared" si="20"/>
        <v>ok</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40"/>
      <c r="BA31" s="743" t="s">
        <v>148</v>
      </c>
      <c r="BB31" s="740"/>
      <c r="BC31" s="666"/>
      <c r="BD31" s="665"/>
      <c r="BE31" s="666"/>
      <c r="BF31" s="665"/>
      <c r="BG31" s="666"/>
      <c r="BH31" s="666"/>
      <c r="BI31" s="666"/>
      <c r="BJ31" s="666"/>
      <c r="BK31" s="666"/>
      <c r="BL31" s="666"/>
      <c r="BM31" s="666"/>
      <c r="BN31" s="666"/>
      <c r="BO31" s="666"/>
      <c r="BP31" s="666"/>
      <c r="BQ31" s="666"/>
      <c r="BR31" s="666"/>
      <c r="BS31" s="666"/>
      <c r="BT31" s="666"/>
      <c r="BU31" s="666"/>
      <c r="BV31" s="666"/>
      <c r="BW31" s="666"/>
      <c r="BX31" s="666"/>
      <c r="BY31" s="666"/>
      <c r="BZ31" s="666"/>
      <c r="CA31" s="666"/>
      <c r="CB31" s="666"/>
      <c r="CC31" s="666"/>
      <c r="CD31" s="666"/>
      <c r="CE31" s="666"/>
      <c r="CF31" s="666"/>
      <c r="CG31" s="666"/>
      <c r="CH31" s="666"/>
      <c r="CI31" s="666"/>
      <c r="CJ31" s="666"/>
      <c r="CK31" s="666"/>
      <c r="CL31" s="666"/>
      <c r="CM31" s="666"/>
      <c r="CN31" s="666"/>
      <c r="CO31" s="666"/>
      <c r="CP31" s="666"/>
      <c r="CQ31" s="666"/>
      <c r="CR31" s="666"/>
      <c r="CS31" s="666"/>
      <c r="CT31" s="657"/>
      <c r="CU31" s="58"/>
    </row>
    <row r="32" spans="1:99" s="398" customFormat="1" ht="21" customHeight="1">
      <c r="A32" s="225"/>
      <c r="B32" s="383">
        <v>279</v>
      </c>
      <c r="C32" s="389">
        <v>23</v>
      </c>
      <c r="D32" s="649" t="s">
        <v>346</v>
      </c>
      <c r="E32" s="386" t="s">
        <v>327</v>
      </c>
      <c r="F32" s="561">
        <v>116.599998474121</v>
      </c>
      <c r="G32" s="586" t="s">
        <v>715</v>
      </c>
      <c r="H32" s="561">
        <v>104</v>
      </c>
      <c r="I32" s="586" t="s">
        <v>715</v>
      </c>
      <c r="J32" s="561">
        <v>125.199996948242</v>
      </c>
      <c r="K32" s="586" t="s">
        <v>715</v>
      </c>
      <c r="L32" s="561"/>
      <c r="M32" s="586"/>
      <c r="N32" s="561">
        <v>142.899993896484</v>
      </c>
      <c r="O32" s="586"/>
      <c r="P32" s="561">
        <v>153.199996948242</v>
      </c>
      <c r="Q32" s="586"/>
      <c r="R32" s="561">
        <v>160.199996948242</v>
      </c>
      <c r="S32" s="586"/>
      <c r="T32" s="561">
        <v>175.600006103516</v>
      </c>
      <c r="U32" s="586"/>
      <c r="V32" s="561">
        <v>185.5</v>
      </c>
      <c r="W32" s="586"/>
      <c r="X32" s="561">
        <v>182.199996948242</v>
      </c>
      <c r="Y32" s="586"/>
      <c r="Z32" s="561">
        <v>85</v>
      </c>
      <c r="AA32" s="586" t="s">
        <v>717</v>
      </c>
      <c r="AB32" s="561">
        <v>88.3000030517578</v>
      </c>
      <c r="AC32" s="586" t="s">
        <v>717</v>
      </c>
      <c r="AD32" s="561">
        <v>199.899993896484</v>
      </c>
      <c r="AE32" s="586"/>
      <c r="AF32" s="561">
        <v>205.699996948242</v>
      </c>
      <c r="AG32" s="586"/>
      <c r="AH32" s="561">
        <v>191.300003051758</v>
      </c>
      <c r="AI32" s="586"/>
      <c r="AJ32" s="561">
        <v>214.899993896484</v>
      </c>
      <c r="AK32" s="586"/>
      <c r="AL32" s="561">
        <v>210.2</v>
      </c>
      <c r="AM32" s="586"/>
      <c r="AN32" s="561">
        <v>213.2</v>
      </c>
      <c r="AO32" s="586"/>
      <c r="AP32" s="561">
        <v>214</v>
      </c>
      <c r="AQ32" s="586"/>
      <c r="AR32" s="561">
        <v>227.3</v>
      </c>
      <c r="AS32" s="586"/>
      <c r="AT32" s="561">
        <v>232.6</v>
      </c>
      <c r="AU32" s="586"/>
      <c r="AV32" s="561">
        <v>250.7</v>
      </c>
      <c r="AW32" s="586"/>
      <c r="AY32" s="229"/>
      <c r="AZ32" s="748">
        <v>23</v>
      </c>
      <c r="BA32" s="739" t="s">
        <v>94</v>
      </c>
      <c r="BB32" s="740" t="s">
        <v>245</v>
      </c>
      <c r="BC32" s="666" t="s">
        <v>249</v>
      </c>
      <c r="BD32" s="665"/>
      <c r="BE32" s="666" t="str">
        <f t="shared" si="14"/>
        <v>ok</v>
      </c>
      <c r="BF32" s="665"/>
      <c r="BG32" s="666" t="str">
        <f t="shared" si="13"/>
        <v>ok</v>
      </c>
      <c r="BH32" s="666"/>
      <c r="BI32" s="666" t="str">
        <f t="shared" si="0"/>
        <v>N/A</v>
      </c>
      <c r="BJ32" s="666"/>
      <c r="BK32" s="666" t="str">
        <f t="shared" si="1"/>
        <v>N/A</v>
      </c>
      <c r="BL32" s="666"/>
      <c r="BM32" s="666" t="str">
        <f t="shared" si="2"/>
        <v>ok</v>
      </c>
      <c r="BN32" s="666"/>
      <c r="BO32" s="666" t="str">
        <f t="shared" si="3"/>
        <v>ok</v>
      </c>
      <c r="BP32" s="666"/>
      <c r="BQ32" s="666" t="str">
        <f t="shared" si="4"/>
        <v>ok</v>
      </c>
      <c r="BR32" s="666"/>
      <c r="BS32" s="666" t="str">
        <f t="shared" si="5"/>
        <v>ok</v>
      </c>
      <c r="BT32" s="666"/>
      <c r="BU32" s="666" t="str">
        <f t="shared" si="6"/>
        <v>ok</v>
      </c>
      <c r="BV32" s="666"/>
      <c r="BW32" s="666" t="str">
        <f t="shared" si="7"/>
        <v>&gt; 25%</v>
      </c>
      <c r="BX32" s="666"/>
      <c r="BY32" s="666" t="str">
        <f t="shared" si="8"/>
        <v>ok</v>
      </c>
      <c r="BZ32" s="666"/>
      <c r="CA32" s="666" t="str">
        <f t="shared" si="9"/>
        <v>&gt; 25%</v>
      </c>
      <c r="CB32" s="666"/>
      <c r="CC32" s="666" t="str">
        <f t="shared" si="10"/>
        <v>ok</v>
      </c>
      <c r="CD32" s="666"/>
      <c r="CE32" s="666" t="str">
        <f t="shared" si="11"/>
        <v>ok</v>
      </c>
      <c r="CF32" s="666"/>
      <c r="CG32" s="666" t="str">
        <f t="shared" si="12"/>
        <v>ok</v>
      </c>
      <c r="CH32" s="666"/>
      <c r="CI32" s="666" t="str">
        <f t="shared" si="15"/>
        <v>ok</v>
      </c>
      <c r="CJ32" s="666"/>
      <c r="CK32" s="666" t="str">
        <f t="shared" si="16"/>
        <v>ok</v>
      </c>
      <c r="CL32" s="666"/>
      <c r="CM32" s="666" t="str">
        <f t="shared" si="17"/>
        <v>ok</v>
      </c>
      <c r="CN32" s="666"/>
      <c r="CO32" s="666" t="str">
        <f t="shared" si="18"/>
        <v>ok</v>
      </c>
      <c r="CP32" s="666"/>
      <c r="CQ32" s="666" t="str">
        <f t="shared" si="19"/>
        <v>ok</v>
      </c>
      <c r="CR32" s="666"/>
      <c r="CS32" s="666" t="str">
        <f t="shared" si="20"/>
        <v>ok</v>
      </c>
      <c r="CT32" s="58"/>
      <c r="CU32" s="58"/>
    </row>
    <row r="33" spans="1:99" s="398" customFormat="1" ht="21" customHeight="1">
      <c r="A33" s="225"/>
      <c r="B33" s="383">
        <v>280</v>
      </c>
      <c r="C33" s="405">
        <v>24</v>
      </c>
      <c r="D33" s="649" t="s">
        <v>349</v>
      </c>
      <c r="E33" s="386" t="s">
        <v>327</v>
      </c>
      <c r="F33" s="556"/>
      <c r="G33" s="581"/>
      <c r="H33" s="556"/>
      <c r="I33" s="581"/>
      <c r="J33" s="556"/>
      <c r="K33" s="581"/>
      <c r="L33" s="556"/>
      <c r="M33" s="581"/>
      <c r="N33" s="556"/>
      <c r="O33" s="581"/>
      <c r="P33" s="556"/>
      <c r="Q33" s="581"/>
      <c r="R33" s="556"/>
      <c r="S33" s="581"/>
      <c r="T33" s="556"/>
      <c r="U33" s="581"/>
      <c r="V33" s="556"/>
      <c r="W33" s="581"/>
      <c r="X33" s="556"/>
      <c r="Y33" s="581"/>
      <c r="Z33" s="556"/>
      <c r="AA33" s="581"/>
      <c r="AB33" s="556"/>
      <c r="AC33" s="581"/>
      <c r="AD33" s="556"/>
      <c r="AE33" s="581"/>
      <c r="AF33" s="556"/>
      <c r="AG33" s="581"/>
      <c r="AH33" s="556"/>
      <c r="AI33" s="581"/>
      <c r="AJ33" s="556"/>
      <c r="AK33" s="581"/>
      <c r="AL33" s="556"/>
      <c r="AM33" s="581"/>
      <c r="AN33" s="556"/>
      <c r="AO33" s="581"/>
      <c r="AP33" s="556"/>
      <c r="AQ33" s="581"/>
      <c r="AR33" s="556"/>
      <c r="AS33" s="581"/>
      <c r="AT33" s="556"/>
      <c r="AU33" s="581"/>
      <c r="AV33" s="556"/>
      <c r="AW33" s="581"/>
      <c r="AY33" s="229"/>
      <c r="AZ33" s="748">
        <v>24</v>
      </c>
      <c r="BA33" s="739" t="s">
        <v>297</v>
      </c>
      <c r="BB33" s="740" t="s">
        <v>245</v>
      </c>
      <c r="BC33" s="666" t="s">
        <v>249</v>
      </c>
      <c r="BD33" s="670"/>
      <c r="BE33" s="666" t="str">
        <f t="shared" si="14"/>
        <v>N/A</v>
      </c>
      <c r="BF33" s="665"/>
      <c r="BG33" s="666" t="str">
        <f t="shared" si="13"/>
        <v>N/A</v>
      </c>
      <c r="BH33" s="666"/>
      <c r="BI33" s="666" t="str">
        <f t="shared" si="0"/>
        <v>N/A</v>
      </c>
      <c r="BJ33" s="666"/>
      <c r="BK33" s="666" t="str">
        <f t="shared" si="1"/>
        <v>N/A</v>
      </c>
      <c r="BL33" s="666"/>
      <c r="BM33" s="666" t="str">
        <f t="shared" si="2"/>
        <v>N/A</v>
      </c>
      <c r="BN33" s="666"/>
      <c r="BO33" s="666" t="str">
        <f t="shared" si="3"/>
        <v>N/A</v>
      </c>
      <c r="BP33" s="666"/>
      <c r="BQ33" s="666" t="str">
        <f t="shared" si="4"/>
        <v>N/A</v>
      </c>
      <c r="BR33" s="666"/>
      <c r="BS33" s="666" t="str">
        <f t="shared" si="5"/>
        <v>N/A</v>
      </c>
      <c r="BT33" s="666"/>
      <c r="BU33" s="666" t="str">
        <f t="shared" si="6"/>
        <v>N/A</v>
      </c>
      <c r="BV33" s="666"/>
      <c r="BW33" s="666" t="str">
        <f t="shared" si="7"/>
        <v>N/A</v>
      </c>
      <c r="BX33" s="666"/>
      <c r="BY33" s="666" t="str">
        <f t="shared" si="8"/>
        <v>N/A</v>
      </c>
      <c r="BZ33" s="666"/>
      <c r="CA33" s="666" t="str">
        <f t="shared" si="9"/>
        <v>N/A</v>
      </c>
      <c r="CB33" s="666"/>
      <c r="CC33" s="666" t="str">
        <f t="shared" si="10"/>
        <v>N/A</v>
      </c>
      <c r="CD33" s="666"/>
      <c r="CE33" s="666" t="str">
        <f t="shared" si="11"/>
        <v>N/A</v>
      </c>
      <c r="CF33" s="666"/>
      <c r="CG33" s="666" t="str">
        <f t="shared" si="12"/>
        <v>N/A</v>
      </c>
      <c r="CH33" s="666"/>
      <c r="CI33" s="666" t="str">
        <f t="shared" si="15"/>
        <v>N/A</v>
      </c>
      <c r="CJ33" s="666"/>
      <c r="CK33" s="666" t="str">
        <f t="shared" si="16"/>
        <v>N/A</v>
      </c>
      <c r="CL33" s="666"/>
      <c r="CM33" s="666" t="str">
        <f t="shared" si="17"/>
        <v>N/A</v>
      </c>
      <c r="CN33" s="666"/>
      <c r="CO33" s="666" t="str">
        <f t="shared" si="18"/>
        <v>N/A</v>
      </c>
      <c r="CP33" s="666"/>
      <c r="CQ33" s="666" t="str">
        <f t="shared" si="19"/>
        <v>N/A</v>
      </c>
      <c r="CR33" s="666"/>
      <c r="CS33" s="666" t="str">
        <f t="shared" si="20"/>
        <v>N/A</v>
      </c>
      <c r="CT33" s="58"/>
      <c r="CU33" s="58"/>
    </row>
    <row r="34" spans="1:99" s="398" customFormat="1" ht="21" customHeight="1">
      <c r="A34" s="225"/>
      <c r="B34" s="383">
        <v>281</v>
      </c>
      <c r="C34" s="405">
        <v>25</v>
      </c>
      <c r="D34" s="650" t="s">
        <v>624</v>
      </c>
      <c r="E34" s="386" t="s">
        <v>327</v>
      </c>
      <c r="F34" s="556"/>
      <c r="G34" s="581"/>
      <c r="H34" s="556"/>
      <c r="I34" s="581"/>
      <c r="J34" s="556"/>
      <c r="K34" s="581"/>
      <c r="L34" s="556"/>
      <c r="M34" s="581"/>
      <c r="N34" s="556"/>
      <c r="O34" s="581"/>
      <c r="P34" s="556"/>
      <c r="Q34" s="581"/>
      <c r="R34" s="556"/>
      <c r="S34" s="581"/>
      <c r="T34" s="556"/>
      <c r="U34" s="581"/>
      <c r="V34" s="556"/>
      <c r="W34" s="581"/>
      <c r="X34" s="556"/>
      <c r="Y34" s="581"/>
      <c r="Z34" s="556"/>
      <c r="AA34" s="581"/>
      <c r="AB34" s="556"/>
      <c r="AC34" s="581"/>
      <c r="AD34" s="556"/>
      <c r="AE34" s="581"/>
      <c r="AF34" s="556"/>
      <c r="AG34" s="581"/>
      <c r="AH34" s="556"/>
      <c r="AI34" s="581"/>
      <c r="AJ34" s="556"/>
      <c r="AK34" s="581"/>
      <c r="AL34" s="556"/>
      <c r="AM34" s="581"/>
      <c r="AN34" s="556"/>
      <c r="AO34" s="581"/>
      <c r="AP34" s="556"/>
      <c r="AQ34" s="581"/>
      <c r="AR34" s="556"/>
      <c r="AS34" s="581"/>
      <c r="AT34" s="556"/>
      <c r="AU34" s="581"/>
      <c r="AV34" s="556"/>
      <c r="AW34" s="581"/>
      <c r="AY34" s="229"/>
      <c r="AZ34" s="748">
        <v>25</v>
      </c>
      <c r="BA34" s="739" t="s">
        <v>630</v>
      </c>
      <c r="BB34" s="740" t="s">
        <v>245</v>
      </c>
      <c r="BC34" s="666"/>
      <c r="BD34" s="670"/>
      <c r="BE34" s="666" t="str">
        <f t="shared" si="14"/>
        <v>N/A</v>
      </c>
      <c r="BF34" s="665"/>
      <c r="BG34" s="666" t="str">
        <f t="shared" si="13"/>
        <v>N/A</v>
      </c>
      <c r="BH34" s="666"/>
      <c r="BI34" s="666" t="str">
        <f t="shared" si="0"/>
        <v>N/A</v>
      </c>
      <c r="BJ34" s="666"/>
      <c r="BK34" s="666" t="str">
        <f t="shared" si="1"/>
        <v>N/A</v>
      </c>
      <c r="BL34" s="666"/>
      <c r="BM34" s="666" t="str">
        <f t="shared" si="2"/>
        <v>N/A</v>
      </c>
      <c r="BN34" s="666"/>
      <c r="BO34" s="666" t="str">
        <f t="shared" si="3"/>
        <v>N/A</v>
      </c>
      <c r="BP34" s="666"/>
      <c r="BQ34" s="666" t="str">
        <f t="shared" si="4"/>
        <v>N/A</v>
      </c>
      <c r="BR34" s="666"/>
      <c r="BS34" s="666" t="str">
        <f t="shared" si="5"/>
        <v>N/A</v>
      </c>
      <c r="BT34" s="666"/>
      <c r="BU34" s="666" t="str">
        <f t="shared" si="6"/>
        <v>N/A</v>
      </c>
      <c r="BV34" s="666"/>
      <c r="BW34" s="666" t="str">
        <f t="shared" si="7"/>
        <v>N/A</v>
      </c>
      <c r="BX34" s="666"/>
      <c r="BY34" s="666" t="str">
        <f t="shared" si="8"/>
        <v>N/A</v>
      </c>
      <c r="BZ34" s="666"/>
      <c r="CA34" s="666" t="str">
        <f t="shared" si="9"/>
        <v>N/A</v>
      </c>
      <c r="CB34" s="666"/>
      <c r="CC34" s="666" t="str">
        <f t="shared" si="10"/>
        <v>N/A</v>
      </c>
      <c r="CD34" s="666"/>
      <c r="CE34" s="666" t="str">
        <f t="shared" si="11"/>
        <v>N/A</v>
      </c>
      <c r="CF34" s="666"/>
      <c r="CG34" s="666" t="str">
        <f t="shared" si="12"/>
        <v>N/A</v>
      </c>
      <c r="CH34" s="666"/>
      <c r="CI34" s="666" t="str">
        <f t="shared" si="15"/>
        <v>N/A</v>
      </c>
      <c r="CJ34" s="666"/>
      <c r="CK34" s="666" t="str">
        <f t="shared" si="16"/>
        <v>N/A</v>
      </c>
      <c r="CL34" s="666"/>
      <c r="CM34" s="666" t="str">
        <f t="shared" si="17"/>
        <v>N/A</v>
      </c>
      <c r="CN34" s="666"/>
      <c r="CO34" s="666" t="str">
        <f t="shared" si="18"/>
        <v>N/A</v>
      </c>
      <c r="CP34" s="666"/>
      <c r="CQ34" s="666" t="str">
        <f t="shared" si="19"/>
        <v>N/A</v>
      </c>
      <c r="CR34" s="666"/>
      <c r="CS34" s="666" t="str">
        <f t="shared" si="20"/>
        <v>N/A</v>
      </c>
      <c r="CT34" s="58"/>
      <c r="CU34" s="58"/>
    </row>
    <row r="35" spans="1:99" s="398" customFormat="1" ht="21" customHeight="1">
      <c r="A35" s="225"/>
      <c r="B35" s="383">
        <v>201</v>
      </c>
      <c r="C35" s="405">
        <v>26</v>
      </c>
      <c r="D35" s="649" t="s">
        <v>616</v>
      </c>
      <c r="E35" s="386" t="s">
        <v>327</v>
      </c>
      <c r="F35" s="556"/>
      <c r="G35" s="581"/>
      <c r="H35" s="556"/>
      <c r="I35" s="581"/>
      <c r="J35" s="556"/>
      <c r="K35" s="581"/>
      <c r="L35" s="556"/>
      <c r="M35" s="581"/>
      <c r="N35" s="556"/>
      <c r="O35" s="581"/>
      <c r="P35" s="556"/>
      <c r="Q35" s="581"/>
      <c r="R35" s="556"/>
      <c r="S35" s="581"/>
      <c r="T35" s="556"/>
      <c r="U35" s="581"/>
      <c r="V35" s="556"/>
      <c r="W35" s="581"/>
      <c r="X35" s="556"/>
      <c r="Y35" s="581"/>
      <c r="Z35" s="556"/>
      <c r="AA35" s="581"/>
      <c r="AB35" s="556"/>
      <c r="AC35" s="581"/>
      <c r="AD35" s="556"/>
      <c r="AE35" s="581"/>
      <c r="AF35" s="556"/>
      <c r="AG35" s="581"/>
      <c r="AH35" s="556"/>
      <c r="AI35" s="581"/>
      <c r="AJ35" s="556"/>
      <c r="AK35" s="581"/>
      <c r="AL35" s="556"/>
      <c r="AM35" s="581"/>
      <c r="AN35" s="556"/>
      <c r="AO35" s="581"/>
      <c r="AP35" s="556"/>
      <c r="AQ35" s="581"/>
      <c r="AR35" s="556"/>
      <c r="AS35" s="581"/>
      <c r="AT35" s="556"/>
      <c r="AU35" s="581"/>
      <c r="AV35" s="556"/>
      <c r="AW35" s="581"/>
      <c r="AY35" s="229"/>
      <c r="AZ35" s="748">
        <v>26</v>
      </c>
      <c r="BA35" s="739" t="s">
        <v>631</v>
      </c>
      <c r="BB35" s="740" t="s">
        <v>245</v>
      </c>
      <c r="BC35" s="666"/>
      <c r="BD35" s="670"/>
      <c r="BE35" s="666" t="str">
        <f t="shared" si="14"/>
        <v>N/A</v>
      </c>
      <c r="BF35" s="665"/>
      <c r="BG35" s="666" t="str">
        <f t="shared" si="13"/>
        <v>N/A</v>
      </c>
      <c r="BH35" s="666"/>
      <c r="BI35" s="666" t="str">
        <f t="shared" si="0"/>
        <v>N/A</v>
      </c>
      <c r="BJ35" s="666"/>
      <c r="BK35" s="666" t="str">
        <f t="shared" si="1"/>
        <v>N/A</v>
      </c>
      <c r="BL35" s="666"/>
      <c r="BM35" s="666" t="str">
        <f t="shared" si="2"/>
        <v>N/A</v>
      </c>
      <c r="BN35" s="666"/>
      <c r="BO35" s="666" t="str">
        <f t="shared" si="3"/>
        <v>N/A</v>
      </c>
      <c r="BP35" s="666"/>
      <c r="BQ35" s="666" t="str">
        <f t="shared" si="4"/>
        <v>N/A</v>
      </c>
      <c r="BR35" s="666"/>
      <c r="BS35" s="666" t="str">
        <f t="shared" si="5"/>
        <v>N/A</v>
      </c>
      <c r="BT35" s="666"/>
      <c r="BU35" s="666" t="str">
        <f t="shared" si="6"/>
        <v>N/A</v>
      </c>
      <c r="BV35" s="666"/>
      <c r="BW35" s="666" t="str">
        <f t="shared" si="7"/>
        <v>N/A</v>
      </c>
      <c r="BX35" s="666"/>
      <c r="BY35" s="666" t="str">
        <f t="shared" si="8"/>
        <v>N/A</v>
      </c>
      <c r="BZ35" s="666"/>
      <c r="CA35" s="666" t="str">
        <f t="shared" si="9"/>
        <v>N/A</v>
      </c>
      <c r="CB35" s="666"/>
      <c r="CC35" s="666" t="str">
        <f t="shared" si="10"/>
        <v>N/A</v>
      </c>
      <c r="CD35" s="666"/>
      <c r="CE35" s="666" t="str">
        <f t="shared" si="11"/>
        <v>N/A</v>
      </c>
      <c r="CF35" s="666"/>
      <c r="CG35" s="666" t="str">
        <f t="shared" si="12"/>
        <v>N/A</v>
      </c>
      <c r="CH35" s="666"/>
      <c r="CI35" s="666" t="str">
        <f t="shared" si="15"/>
        <v>N/A</v>
      </c>
      <c r="CJ35" s="666"/>
      <c r="CK35" s="666" t="str">
        <f t="shared" si="16"/>
        <v>N/A</v>
      </c>
      <c r="CL35" s="666"/>
      <c r="CM35" s="666" t="str">
        <f t="shared" si="17"/>
        <v>N/A</v>
      </c>
      <c r="CN35" s="666"/>
      <c r="CO35" s="666" t="str">
        <f t="shared" si="18"/>
        <v>N/A</v>
      </c>
      <c r="CP35" s="666"/>
      <c r="CQ35" s="666" t="str">
        <f t="shared" si="19"/>
        <v>N/A</v>
      </c>
      <c r="CR35" s="666"/>
      <c r="CS35" s="666" t="str">
        <f t="shared" si="20"/>
        <v>N/A</v>
      </c>
      <c r="CT35" s="58"/>
      <c r="CU35" s="58"/>
    </row>
    <row r="36" spans="1:99" s="398" customFormat="1" ht="21" customHeight="1">
      <c r="A36" s="225"/>
      <c r="B36" s="383">
        <v>282</v>
      </c>
      <c r="C36" s="405">
        <v>27</v>
      </c>
      <c r="D36" s="385" t="s">
        <v>350</v>
      </c>
      <c r="E36" s="386" t="s">
        <v>327</v>
      </c>
      <c r="F36" s="556"/>
      <c r="G36" s="581"/>
      <c r="H36" s="556"/>
      <c r="I36" s="581"/>
      <c r="J36" s="556"/>
      <c r="K36" s="581"/>
      <c r="L36" s="556"/>
      <c r="M36" s="581"/>
      <c r="N36" s="556"/>
      <c r="O36" s="581"/>
      <c r="P36" s="556"/>
      <c r="Q36" s="581"/>
      <c r="R36" s="556"/>
      <c r="S36" s="581"/>
      <c r="T36" s="556"/>
      <c r="U36" s="581"/>
      <c r="V36" s="556"/>
      <c r="W36" s="581"/>
      <c r="X36" s="556"/>
      <c r="Y36" s="581"/>
      <c r="Z36" s="556"/>
      <c r="AA36" s="581"/>
      <c r="AB36" s="556"/>
      <c r="AC36" s="581"/>
      <c r="AD36" s="556"/>
      <c r="AE36" s="581"/>
      <c r="AF36" s="556"/>
      <c r="AG36" s="581"/>
      <c r="AH36" s="556"/>
      <c r="AI36" s="581"/>
      <c r="AJ36" s="556"/>
      <c r="AK36" s="581"/>
      <c r="AL36" s="556"/>
      <c r="AM36" s="581"/>
      <c r="AN36" s="556"/>
      <c r="AO36" s="581"/>
      <c r="AP36" s="556"/>
      <c r="AQ36" s="581"/>
      <c r="AR36" s="556"/>
      <c r="AS36" s="581"/>
      <c r="AT36" s="556"/>
      <c r="AU36" s="581"/>
      <c r="AV36" s="556"/>
      <c r="AW36" s="581"/>
      <c r="AY36" s="229"/>
      <c r="AZ36" s="748">
        <v>27</v>
      </c>
      <c r="BA36" s="739" t="s">
        <v>95</v>
      </c>
      <c r="BB36" s="740" t="s">
        <v>245</v>
      </c>
      <c r="BC36" s="666" t="s">
        <v>249</v>
      </c>
      <c r="BD36" s="670"/>
      <c r="BE36" s="666" t="str">
        <f t="shared" si="14"/>
        <v>N/A</v>
      </c>
      <c r="BF36" s="665"/>
      <c r="BG36" s="666" t="str">
        <f t="shared" si="13"/>
        <v>N/A</v>
      </c>
      <c r="BH36" s="666"/>
      <c r="BI36" s="666" t="str">
        <f t="shared" si="0"/>
        <v>N/A</v>
      </c>
      <c r="BJ36" s="666"/>
      <c r="BK36" s="666" t="str">
        <f t="shared" si="1"/>
        <v>N/A</v>
      </c>
      <c r="BL36" s="666"/>
      <c r="BM36" s="666" t="str">
        <f t="shared" si="2"/>
        <v>N/A</v>
      </c>
      <c r="BN36" s="666"/>
      <c r="BO36" s="666" t="str">
        <f t="shared" si="3"/>
        <v>N/A</v>
      </c>
      <c r="BP36" s="666"/>
      <c r="BQ36" s="666" t="str">
        <f t="shared" si="4"/>
        <v>N/A</v>
      </c>
      <c r="BR36" s="666"/>
      <c r="BS36" s="666" t="str">
        <f t="shared" si="5"/>
        <v>N/A</v>
      </c>
      <c r="BT36" s="666"/>
      <c r="BU36" s="666" t="str">
        <f t="shared" si="6"/>
        <v>N/A</v>
      </c>
      <c r="BV36" s="666"/>
      <c r="BW36" s="666" t="str">
        <f t="shared" si="7"/>
        <v>N/A</v>
      </c>
      <c r="BX36" s="666"/>
      <c r="BY36" s="666" t="str">
        <f t="shared" si="8"/>
        <v>N/A</v>
      </c>
      <c r="BZ36" s="666"/>
      <c r="CA36" s="666" t="str">
        <f t="shared" si="9"/>
        <v>N/A</v>
      </c>
      <c r="CB36" s="666"/>
      <c r="CC36" s="666" t="str">
        <f t="shared" si="10"/>
        <v>N/A</v>
      </c>
      <c r="CD36" s="666"/>
      <c r="CE36" s="666" t="str">
        <f t="shared" si="11"/>
        <v>N/A</v>
      </c>
      <c r="CF36" s="666"/>
      <c r="CG36" s="666" t="str">
        <f t="shared" si="12"/>
        <v>N/A</v>
      </c>
      <c r="CH36" s="666"/>
      <c r="CI36" s="666" t="str">
        <f t="shared" si="15"/>
        <v>N/A</v>
      </c>
      <c r="CJ36" s="666"/>
      <c r="CK36" s="666" t="str">
        <f t="shared" si="16"/>
        <v>N/A</v>
      </c>
      <c r="CL36" s="666"/>
      <c r="CM36" s="666" t="str">
        <f t="shared" si="17"/>
        <v>N/A</v>
      </c>
      <c r="CN36" s="666"/>
      <c r="CO36" s="666" t="str">
        <f t="shared" si="18"/>
        <v>N/A</v>
      </c>
      <c r="CP36" s="666"/>
      <c r="CQ36" s="666" t="str">
        <f t="shared" si="19"/>
        <v>N/A</v>
      </c>
      <c r="CR36" s="666"/>
      <c r="CS36" s="666" t="str">
        <f t="shared" si="20"/>
        <v>N/A</v>
      </c>
      <c r="CT36" s="58"/>
      <c r="CU36" s="58"/>
    </row>
    <row r="37" spans="1:99" s="398" customFormat="1" ht="21" customHeight="1">
      <c r="A37" s="225"/>
      <c r="B37" s="383">
        <v>202</v>
      </c>
      <c r="C37" s="405">
        <v>28</v>
      </c>
      <c r="D37" s="470" t="s">
        <v>617</v>
      </c>
      <c r="E37" s="386" t="s">
        <v>327</v>
      </c>
      <c r="F37" s="556"/>
      <c r="G37" s="581"/>
      <c r="H37" s="556"/>
      <c r="I37" s="581"/>
      <c r="J37" s="556"/>
      <c r="K37" s="581"/>
      <c r="L37" s="556"/>
      <c r="M37" s="581"/>
      <c r="N37" s="556"/>
      <c r="O37" s="581"/>
      <c r="P37" s="556"/>
      <c r="Q37" s="581"/>
      <c r="R37" s="556"/>
      <c r="S37" s="581"/>
      <c r="T37" s="556"/>
      <c r="U37" s="581"/>
      <c r="V37" s="556"/>
      <c r="W37" s="581"/>
      <c r="X37" s="556"/>
      <c r="Y37" s="581"/>
      <c r="Z37" s="556"/>
      <c r="AA37" s="581"/>
      <c r="AB37" s="556"/>
      <c r="AC37" s="581"/>
      <c r="AD37" s="556"/>
      <c r="AE37" s="581"/>
      <c r="AF37" s="556"/>
      <c r="AG37" s="581"/>
      <c r="AH37" s="556"/>
      <c r="AI37" s="581"/>
      <c r="AJ37" s="556"/>
      <c r="AK37" s="581"/>
      <c r="AL37" s="556"/>
      <c r="AM37" s="581"/>
      <c r="AN37" s="556"/>
      <c r="AO37" s="581"/>
      <c r="AP37" s="556"/>
      <c r="AQ37" s="581"/>
      <c r="AR37" s="556"/>
      <c r="AS37" s="581"/>
      <c r="AT37" s="556"/>
      <c r="AU37" s="581"/>
      <c r="AV37" s="556"/>
      <c r="AW37" s="581"/>
      <c r="AY37" s="229"/>
      <c r="AZ37" s="749">
        <v>28</v>
      </c>
      <c r="BA37" s="739" t="s">
        <v>632</v>
      </c>
      <c r="BB37" s="740" t="s">
        <v>245</v>
      </c>
      <c r="BC37" s="666"/>
      <c r="BD37" s="670"/>
      <c r="BE37" s="666" t="str">
        <f t="shared" si="14"/>
        <v>N/A</v>
      </c>
      <c r="BF37" s="665"/>
      <c r="BG37" s="666" t="str">
        <f t="shared" si="13"/>
        <v>N/A</v>
      </c>
      <c r="BH37" s="666"/>
      <c r="BI37" s="666" t="str">
        <f t="shared" si="0"/>
        <v>N/A</v>
      </c>
      <c r="BJ37" s="666"/>
      <c r="BK37" s="666" t="str">
        <f t="shared" si="1"/>
        <v>N/A</v>
      </c>
      <c r="BL37" s="666"/>
      <c r="BM37" s="666" t="str">
        <f t="shared" si="2"/>
        <v>N/A</v>
      </c>
      <c r="BN37" s="666"/>
      <c r="BO37" s="666" t="str">
        <f t="shared" si="3"/>
        <v>N/A</v>
      </c>
      <c r="BP37" s="666"/>
      <c r="BQ37" s="666" t="str">
        <f t="shared" si="4"/>
        <v>N/A</v>
      </c>
      <c r="BR37" s="666"/>
      <c r="BS37" s="666" t="str">
        <f t="shared" si="5"/>
        <v>N/A</v>
      </c>
      <c r="BT37" s="666"/>
      <c r="BU37" s="666" t="str">
        <f t="shared" si="6"/>
        <v>N/A</v>
      </c>
      <c r="BV37" s="666"/>
      <c r="BW37" s="666" t="str">
        <f t="shared" si="7"/>
        <v>N/A</v>
      </c>
      <c r="BX37" s="666"/>
      <c r="BY37" s="666" t="str">
        <f t="shared" si="8"/>
        <v>N/A</v>
      </c>
      <c r="BZ37" s="666"/>
      <c r="CA37" s="666" t="str">
        <f t="shared" si="9"/>
        <v>N/A</v>
      </c>
      <c r="CB37" s="666"/>
      <c r="CC37" s="666" t="str">
        <f t="shared" si="10"/>
        <v>N/A</v>
      </c>
      <c r="CD37" s="666"/>
      <c r="CE37" s="666" t="str">
        <f t="shared" si="11"/>
        <v>N/A</v>
      </c>
      <c r="CF37" s="666"/>
      <c r="CG37" s="666" t="str">
        <f t="shared" si="12"/>
        <v>N/A</v>
      </c>
      <c r="CH37" s="666"/>
      <c r="CI37" s="666" t="str">
        <f t="shared" si="15"/>
        <v>N/A</v>
      </c>
      <c r="CJ37" s="666"/>
      <c r="CK37" s="666" t="str">
        <f t="shared" si="16"/>
        <v>N/A</v>
      </c>
      <c r="CL37" s="666"/>
      <c r="CM37" s="666" t="str">
        <f t="shared" si="17"/>
        <v>N/A</v>
      </c>
      <c r="CN37" s="666"/>
      <c r="CO37" s="666" t="str">
        <f t="shared" si="18"/>
        <v>N/A</v>
      </c>
      <c r="CP37" s="666"/>
      <c r="CQ37" s="666" t="str">
        <f t="shared" si="19"/>
        <v>N/A</v>
      </c>
      <c r="CR37" s="666"/>
      <c r="CS37" s="666" t="str">
        <f t="shared" si="20"/>
        <v>N/A</v>
      </c>
      <c r="CT37" s="58"/>
      <c r="CU37" s="58"/>
    </row>
    <row r="38" spans="1:99" s="398" customFormat="1" ht="21" customHeight="1">
      <c r="A38" s="225"/>
      <c r="B38" s="383">
        <v>283</v>
      </c>
      <c r="C38" s="405">
        <v>29</v>
      </c>
      <c r="D38" s="463" t="s">
        <v>618</v>
      </c>
      <c r="E38" s="386" t="s">
        <v>327</v>
      </c>
      <c r="F38" s="592"/>
      <c r="G38" s="581"/>
      <c r="H38" s="592"/>
      <c r="I38" s="581"/>
      <c r="J38" s="592"/>
      <c r="K38" s="581"/>
      <c r="L38" s="592"/>
      <c r="M38" s="581"/>
      <c r="N38" s="592"/>
      <c r="O38" s="581"/>
      <c r="P38" s="592"/>
      <c r="Q38" s="581"/>
      <c r="R38" s="592"/>
      <c r="S38" s="581"/>
      <c r="T38" s="592"/>
      <c r="U38" s="581"/>
      <c r="V38" s="592"/>
      <c r="W38" s="581"/>
      <c r="X38" s="592"/>
      <c r="Y38" s="581"/>
      <c r="Z38" s="592"/>
      <c r="AA38" s="581"/>
      <c r="AB38" s="592"/>
      <c r="AC38" s="581"/>
      <c r="AD38" s="592"/>
      <c r="AE38" s="581"/>
      <c r="AF38" s="592"/>
      <c r="AG38" s="581"/>
      <c r="AH38" s="592"/>
      <c r="AI38" s="581"/>
      <c r="AJ38" s="592"/>
      <c r="AK38" s="581"/>
      <c r="AL38" s="592"/>
      <c r="AM38" s="581"/>
      <c r="AN38" s="592"/>
      <c r="AO38" s="581"/>
      <c r="AP38" s="592"/>
      <c r="AQ38" s="581"/>
      <c r="AR38" s="592"/>
      <c r="AS38" s="581"/>
      <c r="AT38" s="592"/>
      <c r="AU38" s="581"/>
      <c r="AV38" s="592"/>
      <c r="AW38" s="581"/>
      <c r="AY38" s="229"/>
      <c r="AZ38" s="750">
        <v>29</v>
      </c>
      <c r="BA38" s="751" t="s">
        <v>633</v>
      </c>
      <c r="BB38" s="740" t="s">
        <v>245</v>
      </c>
      <c r="BC38" s="666" t="s">
        <v>249</v>
      </c>
      <c r="BD38" s="670"/>
      <c r="BE38" s="666" t="str">
        <f t="shared" si="14"/>
        <v>N/A</v>
      </c>
      <c r="BF38" s="665"/>
      <c r="BG38" s="666" t="str">
        <f t="shared" si="13"/>
        <v>N/A</v>
      </c>
      <c r="BH38" s="666"/>
      <c r="BI38" s="666" t="str">
        <f t="shared" si="0"/>
        <v>N/A</v>
      </c>
      <c r="BJ38" s="666"/>
      <c r="BK38" s="666" t="str">
        <f t="shared" si="1"/>
        <v>N/A</v>
      </c>
      <c r="BL38" s="666"/>
      <c r="BM38" s="666" t="str">
        <f t="shared" si="2"/>
        <v>N/A</v>
      </c>
      <c r="BN38" s="666"/>
      <c r="BO38" s="666" t="str">
        <f t="shared" si="3"/>
        <v>N/A</v>
      </c>
      <c r="BP38" s="666"/>
      <c r="BQ38" s="666" t="str">
        <f t="shared" si="4"/>
        <v>N/A</v>
      </c>
      <c r="BR38" s="666"/>
      <c r="BS38" s="666" t="str">
        <f t="shared" si="5"/>
        <v>N/A</v>
      </c>
      <c r="BT38" s="666"/>
      <c r="BU38" s="666" t="str">
        <f t="shared" si="6"/>
        <v>N/A</v>
      </c>
      <c r="BV38" s="666"/>
      <c r="BW38" s="666" t="str">
        <f t="shared" si="7"/>
        <v>N/A</v>
      </c>
      <c r="BX38" s="666"/>
      <c r="BY38" s="666" t="str">
        <f t="shared" si="8"/>
        <v>N/A</v>
      </c>
      <c r="BZ38" s="666"/>
      <c r="CA38" s="666" t="str">
        <f t="shared" si="9"/>
        <v>N/A</v>
      </c>
      <c r="CB38" s="666"/>
      <c r="CC38" s="666" t="str">
        <f t="shared" si="10"/>
        <v>N/A</v>
      </c>
      <c r="CD38" s="666"/>
      <c r="CE38" s="666" t="str">
        <f t="shared" si="11"/>
        <v>N/A</v>
      </c>
      <c r="CF38" s="666"/>
      <c r="CG38" s="666" t="str">
        <f t="shared" si="12"/>
        <v>N/A</v>
      </c>
      <c r="CH38" s="666"/>
      <c r="CI38" s="666" t="str">
        <f t="shared" si="15"/>
        <v>N/A</v>
      </c>
      <c r="CJ38" s="666"/>
      <c r="CK38" s="666" t="str">
        <f t="shared" si="16"/>
        <v>N/A</v>
      </c>
      <c r="CL38" s="666"/>
      <c r="CM38" s="666" t="str">
        <f t="shared" si="17"/>
        <v>N/A</v>
      </c>
      <c r="CN38" s="666"/>
      <c r="CO38" s="666" t="str">
        <f t="shared" si="18"/>
        <v>N/A</v>
      </c>
      <c r="CP38" s="666"/>
      <c r="CQ38" s="666" t="str">
        <f t="shared" si="19"/>
        <v>N/A</v>
      </c>
      <c r="CR38" s="666"/>
      <c r="CS38" s="666" t="str">
        <f t="shared" si="20"/>
        <v>N/A</v>
      </c>
      <c r="CT38" s="58"/>
      <c r="CU38" s="58"/>
    </row>
    <row r="39" spans="1:99" s="398" customFormat="1" ht="21" customHeight="1">
      <c r="A39" s="225"/>
      <c r="B39" s="383">
        <v>203</v>
      </c>
      <c r="C39" s="610">
        <v>30</v>
      </c>
      <c r="D39" s="470" t="s">
        <v>619</v>
      </c>
      <c r="E39" s="386" t="s">
        <v>327</v>
      </c>
      <c r="F39" s="611"/>
      <c r="G39" s="583"/>
      <c r="H39" s="611"/>
      <c r="I39" s="583"/>
      <c r="J39" s="611"/>
      <c r="K39" s="583"/>
      <c r="L39" s="611"/>
      <c r="M39" s="583"/>
      <c r="N39" s="611"/>
      <c r="O39" s="583"/>
      <c r="P39" s="611"/>
      <c r="Q39" s="583"/>
      <c r="R39" s="611"/>
      <c r="S39" s="583"/>
      <c r="T39" s="611"/>
      <c r="U39" s="583"/>
      <c r="V39" s="611"/>
      <c r="W39" s="583"/>
      <c r="X39" s="611"/>
      <c r="Y39" s="583"/>
      <c r="Z39" s="611"/>
      <c r="AA39" s="583"/>
      <c r="AB39" s="611"/>
      <c r="AC39" s="583"/>
      <c r="AD39" s="611"/>
      <c r="AE39" s="583"/>
      <c r="AF39" s="611"/>
      <c r="AG39" s="583"/>
      <c r="AH39" s="611"/>
      <c r="AI39" s="583"/>
      <c r="AJ39" s="611"/>
      <c r="AK39" s="583"/>
      <c r="AL39" s="611"/>
      <c r="AM39" s="583"/>
      <c r="AN39" s="611"/>
      <c r="AO39" s="583"/>
      <c r="AP39" s="611"/>
      <c r="AQ39" s="583"/>
      <c r="AR39" s="611"/>
      <c r="AS39" s="583"/>
      <c r="AT39" s="611"/>
      <c r="AU39" s="583"/>
      <c r="AV39" s="611"/>
      <c r="AW39" s="583"/>
      <c r="AY39" s="229"/>
      <c r="AZ39" s="749">
        <v>30</v>
      </c>
      <c r="BA39" s="739" t="s">
        <v>629</v>
      </c>
      <c r="BB39" s="740" t="s">
        <v>245</v>
      </c>
      <c r="BC39" s="666"/>
      <c r="BD39" s="670"/>
      <c r="BE39" s="666" t="str">
        <f t="shared" si="14"/>
        <v>N/A</v>
      </c>
      <c r="BF39" s="665"/>
      <c r="BG39" s="666" t="str">
        <f t="shared" si="13"/>
        <v>N/A</v>
      </c>
      <c r="BH39" s="666"/>
      <c r="BI39" s="666" t="str">
        <f t="shared" si="0"/>
        <v>N/A</v>
      </c>
      <c r="BJ39" s="666"/>
      <c r="BK39" s="666" t="str">
        <f t="shared" si="1"/>
        <v>N/A</v>
      </c>
      <c r="BL39" s="666"/>
      <c r="BM39" s="666" t="str">
        <f t="shared" si="2"/>
        <v>N/A</v>
      </c>
      <c r="BN39" s="666"/>
      <c r="BO39" s="666" t="str">
        <f t="shared" si="3"/>
        <v>N/A</v>
      </c>
      <c r="BP39" s="666"/>
      <c r="BQ39" s="666" t="str">
        <f t="shared" si="4"/>
        <v>N/A</v>
      </c>
      <c r="BR39" s="666"/>
      <c r="BS39" s="666" t="str">
        <f t="shared" si="5"/>
        <v>N/A</v>
      </c>
      <c r="BT39" s="666"/>
      <c r="BU39" s="666" t="str">
        <f t="shared" si="6"/>
        <v>N/A</v>
      </c>
      <c r="BV39" s="666"/>
      <c r="BW39" s="666" t="str">
        <f t="shared" si="7"/>
        <v>N/A</v>
      </c>
      <c r="BX39" s="666"/>
      <c r="BY39" s="666" t="str">
        <f t="shared" si="8"/>
        <v>N/A</v>
      </c>
      <c r="BZ39" s="666"/>
      <c r="CA39" s="666" t="str">
        <f t="shared" si="9"/>
        <v>N/A</v>
      </c>
      <c r="CB39" s="666"/>
      <c r="CC39" s="666" t="str">
        <f t="shared" si="10"/>
        <v>N/A</v>
      </c>
      <c r="CD39" s="666"/>
      <c r="CE39" s="666" t="str">
        <f t="shared" si="11"/>
        <v>N/A</v>
      </c>
      <c r="CF39" s="666"/>
      <c r="CG39" s="666" t="str">
        <f t="shared" si="12"/>
        <v>N/A</v>
      </c>
      <c r="CH39" s="666"/>
      <c r="CI39" s="666" t="str">
        <f t="shared" si="15"/>
        <v>N/A</v>
      </c>
      <c r="CJ39" s="666"/>
      <c r="CK39" s="666" t="str">
        <f t="shared" si="16"/>
        <v>N/A</v>
      </c>
      <c r="CL39" s="666"/>
      <c r="CM39" s="666" t="str">
        <f t="shared" si="17"/>
        <v>N/A</v>
      </c>
      <c r="CN39" s="666"/>
      <c r="CO39" s="666" t="str">
        <f t="shared" si="18"/>
        <v>N/A</v>
      </c>
      <c r="CP39" s="666"/>
      <c r="CQ39" s="666" t="str">
        <f t="shared" si="19"/>
        <v>N/A</v>
      </c>
      <c r="CR39" s="666"/>
      <c r="CS39" s="666" t="str">
        <f t="shared" si="20"/>
        <v>N/A</v>
      </c>
      <c r="CT39" s="58"/>
      <c r="CU39" s="58"/>
    </row>
    <row r="40" spans="1:99" s="398" customFormat="1" ht="21" customHeight="1">
      <c r="A40" s="225"/>
      <c r="B40" s="383">
        <v>204</v>
      </c>
      <c r="C40" s="406">
        <v>31</v>
      </c>
      <c r="D40" s="281" t="s">
        <v>421</v>
      </c>
      <c r="E40" s="407" t="s">
        <v>327</v>
      </c>
      <c r="F40" s="593"/>
      <c r="G40" s="584"/>
      <c r="H40" s="593"/>
      <c r="I40" s="584"/>
      <c r="J40" s="593"/>
      <c r="K40" s="584"/>
      <c r="L40" s="593"/>
      <c r="M40" s="584"/>
      <c r="N40" s="593"/>
      <c r="O40" s="584"/>
      <c r="P40" s="593"/>
      <c r="Q40" s="584"/>
      <c r="R40" s="593"/>
      <c r="S40" s="584"/>
      <c r="T40" s="593"/>
      <c r="U40" s="584"/>
      <c r="V40" s="593"/>
      <c r="W40" s="584"/>
      <c r="X40" s="593"/>
      <c r="Y40" s="584"/>
      <c r="Z40" s="593"/>
      <c r="AA40" s="584"/>
      <c r="AB40" s="593"/>
      <c r="AC40" s="584"/>
      <c r="AD40" s="593"/>
      <c r="AE40" s="584"/>
      <c r="AF40" s="593"/>
      <c r="AG40" s="584"/>
      <c r="AH40" s="593"/>
      <c r="AI40" s="584"/>
      <c r="AJ40" s="593"/>
      <c r="AK40" s="584"/>
      <c r="AL40" s="593"/>
      <c r="AM40" s="584"/>
      <c r="AN40" s="593"/>
      <c r="AO40" s="584"/>
      <c r="AP40" s="593"/>
      <c r="AQ40" s="584"/>
      <c r="AR40" s="593"/>
      <c r="AS40" s="584"/>
      <c r="AT40" s="593"/>
      <c r="AU40" s="584"/>
      <c r="AV40" s="593"/>
      <c r="AW40" s="584"/>
      <c r="AY40" s="229"/>
      <c r="AZ40" s="750">
        <v>31</v>
      </c>
      <c r="BA40" s="752" t="s">
        <v>96</v>
      </c>
      <c r="BB40" s="740" t="s">
        <v>245</v>
      </c>
      <c r="BC40" s="666" t="s">
        <v>249</v>
      </c>
      <c r="BD40" s="670"/>
      <c r="BE40" s="666" t="str">
        <f t="shared" si="14"/>
        <v>N/A</v>
      </c>
      <c r="BF40" s="665"/>
      <c r="BG40" s="666" t="str">
        <f t="shared" si="13"/>
        <v>N/A</v>
      </c>
      <c r="BH40" s="666"/>
      <c r="BI40" s="666" t="str">
        <f t="shared" si="0"/>
        <v>N/A</v>
      </c>
      <c r="BJ40" s="666"/>
      <c r="BK40" s="666" t="str">
        <f t="shared" si="1"/>
        <v>N/A</v>
      </c>
      <c r="BL40" s="666"/>
      <c r="BM40" s="666" t="str">
        <f t="shared" si="2"/>
        <v>N/A</v>
      </c>
      <c r="BN40" s="666"/>
      <c r="BO40" s="666" t="str">
        <f t="shared" si="3"/>
        <v>N/A</v>
      </c>
      <c r="BP40" s="666"/>
      <c r="BQ40" s="666" t="str">
        <f t="shared" si="4"/>
        <v>N/A</v>
      </c>
      <c r="BR40" s="666"/>
      <c r="BS40" s="666" t="str">
        <f t="shared" si="5"/>
        <v>N/A</v>
      </c>
      <c r="BT40" s="666"/>
      <c r="BU40" s="666" t="str">
        <f t="shared" si="6"/>
        <v>N/A</v>
      </c>
      <c r="BV40" s="666"/>
      <c r="BW40" s="666" t="str">
        <f t="shared" si="7"/>
        <v>N/A</v>
      </c>
      <c r="BX40" s="666"/>
      <c r="BY40" s="666" t="str">
        <f t="shared" si="8"/>
        <v>N/A</v>
      </c>
      <c r="BZ40" s="666"/>
      <c r="CA40" s="666" t="str">
        <f t="shared" si="9"/>
        <v>N/A</v>
      </c>
      <c r="CB40" s="666"/>
      <c r="CC40" s="666" t="str">
        <f t="shared" si="10"/>
        <v>N/A</v>
      </c>
      <c r="CD40" s="666"/>
      <c r="CE40" s="666" t="str">
        <f t="shared" si="11"/>
        <v>N/A</v>
      </c>
      <c r="CF40" s="666"/>
      <c r="CG40" s="666" t="str">
        <f t="shared" si="12"/>
        <v>N/A</v>
      </c>
      <c r="CH40" s="666"/>
      <c r="CI40" s="666" t="str">
        <f t="shared" si="15"/>
        <v>N/A</v>
      </c>
      <c r="CJ40" s="666"/>
      <c r="CK40" s="666" t="str">
        <f t="shared" si="16"/>
        <v>N/A</v>
      </c>
      <c r="CL40" s="666"/>
      <c r="CM40" s="666" t="str">
        <f t="shared" si="17"/>
        <v>N/A</v>
      </c>
      <c r="CN40" s="666"/>
      <c r="CO40" s="666" t="str">
        <f t="shared" si="18"/>
        <v>N/A</v>
      </c>
      <c r="CP40" s="666"/>
      <c r="CQ40" s="666" t="str">
        <f t="shared" si="19"/>
        <v>N/A</v>
      </c>
      <c r="CR40" s="666"/>
      <c r="CS40" s="666" t="str">
        <f t="shared" si="20"/>
        <v>N/A</v>
      </c>
      <c r="CT40" s="58"/>
      <c r="CU40" s="58"/>
    </row>
    <row r="41" spans="3:98" ht="16.5" customHeight="1">
      <c r="C41" s="369" t="s">
        <v>343</v>
      </c>
      <c r="D41" s="285"/>
      <c r="E41" s="408"/>
      <c r="F41" s="409"/>
      <c r="AZ41" s="753" t="s">
        <v>557</v>
      </c>
      <c r="BA41" s="754"/>
      <c r="BB41" s="754"/>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489"/>
    </row>
    <row r="42" spans="3:99" ht="24.75" customHeight="1">
      <c r="C42" s="301" t="s">
        <v>267</v>
      </c>
      <c r="D42" s="859" t="s">
        <v>360</v>
      </c>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Z42" s="755" t="s">
        <v>16</v>
      </c>
      <c r="BA42" s="755" t="s">
        <v>17</v>
      </c>
      <c r="BB42" s="755" t="s">
        <v>18</v>
      </c>
      <c r="BC42" s="661">
        <v>2000</v>
      </c>
      <c r="BD42" s="661"/>
      <c r="BE42" s="661">
        <v>2001</v>
      </c>
      <c r="BF42" s="661"/>
      <c r="BG42" s="661">
        <v>2002</v>
      </c>
      <c r="BH42" s="661"/>
      <c r="BI42" s="661">
        <v>2003</v>
      </c>
      <c r="BJ42" s="661"/>
      <c r="BK42" s="661">
        <v>2004</v>
      </c>
      <c r="BL42" s="661"/>
      <c r="BM42" s="661">
        <v>2005</v>
      </c>
      <c r="BN42" s="661"/>
      <c r="BO42" s="661">
        <v>2006</v>
      </c>
      <c r="BP42" s="661"/>
      <c r="BQ42" s="661">
        <v>2007</v>
      </c>
      <c r="BR42" s="661"/>
      <c r="BS42" s="661">
        <v>2008</v>
      </c>
      <c r="BT42" s="661"/>
      <c r="BU42" s="661">
        <v>2009</v>
      </c>
      <c r="BV42" s="661"/>
      <c r="BW42" s="661">
        <v>2010</v>
      </c>
      <c r="BX42" s="661"/>
      <c r="BY42" s="661">
        <v>2011</v>
      </c>
      <c r="BZ42" s="661"/>
      <c r="CA42" s="661">
        <v>2012</v>
      </c>
      <c r="CB42" s="661"/>
      <c r="CC42" s="661">
        <v>2013</v>
      </c>
      <c r="CD42" s="661"/>
      <c r="CE42" s="661">
        <v>2014</v>
      </c>
      <c r="CF42" s="661"/>
      <c r="CG42" s="661">
        <v>2015</v>
      </c>
      <c r="CH42" s="661"/>
      <c r="CI42" s="661">
        <v>2016</v>
      </c>
      <c r="CJ42" s="661"/>
      <c r="CK42" s="661">
        <v>2017</v>
      </c>
      <c r="CL42" s="661"/>
      <c r="CM42" s="661">
        <v>2018</v>
      </c>
      <c r="CN42" s="661"/>
      <c r="CO42" s="661">
        <v>2019</v>
      </c>
      <c r="CP42" s="661"/>
      <c r="CQ42" s="661">
        <v>2020</v>
      </c>
      <c r="CR42" s="661"/>
      <c r="CS42" s="661">
        <v>2021</v>
      </c>
      <c r="CT42" s="249"/>
      <c r="CU42" s="248"/>
    </row>
    <row r="43" spans="3:99" ht="15" customHeight="1">
      <c r="C43" s="301" t="s">
        <v>267</v>
      </c>
      <c r="D43" s="858" t="s">
        <v>333</v>
      </c>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Z43" s="741"/>
      <c r="BA43" s="756" t="s">
        <v>214</v>
      </c>
      <c r="BB43" s="741"/>
      <c r="BC43" s="669"/>
      <c r="BD43" s="670"/>
      <c r="BE43" s="669"/>
      <c r="BF43" s="670"/>
      <c r="BG43" s="669"/>
      <c r="BH43" s="670"/>
      <c r="BI43" s="669"/>
      <c r="BJ43" s="670"/>
      <c r="BK43" s="667"/>
      <c r="BL43" s="670"/>
      <c r="BM43" s="667"/>
      <c r="BN43" s="670"/>
      <c r="BO43" s="667"/>
      <c r="BP43" s="670"/>
      <c r="BQ43" s="667"/>
      <c r="BR43" s="670"/>
      <c r="BS43" s="667"/>
      <c r="BT43" s="670"/>
      <c r="BU43" s="667"/>
      <c r="BV43" s="670"/>
      <c r="BW43" s="669"/>
      <c r="BX43" s="670"/>
      <c r="BY43" s="667"/>
      <c r="BZ43" s="670"/>
      <c r="CA43" s="667"/>
      <c r="CB43" s="670"/>
      <c r="CC43" s="667"/>
      <c r="CD43" s="670"/>
      <c r="CE43" s="667"/>
      <c r="CF43" s="670"/>
      <c r="CG43" s="667"/>
      <c r="CH43" s="670"/>
      <c r="CI43" s="667"/>
      <c r="CJ43" s="670"/>
      <c r="CK43" s="667"/>
      <c r="CL43" s="670"/>
      <c r="CM43" s="667"/>
      <c r="CN43" s="670"/>
      <c r="CO43" s="667"/>
      <c r="CP43" s="670"/>
      <c r="CQ43" s="667"/>
      <c r="CR43" s="670"/>
      <c r="CS43" s="667"/>
      <c r="CT43" s="265"/>
      <c r="CU43" s="265"/>
    </row>
    <row r="44" spans="3:99" ht="33" customHeight="1">
      <c r="C44" s="301" t="s">
        <v>267</v>
      </c>
      <c r="D44" s="859" t="s">
        <v>690</v>
      </c>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3"/>
      <c r="AR44" s="883"/>
      <c r="AS44" s="883"/>
      <c r="AT44" s="883"/>
      <c r="AU44" s="883"/>
      <c r="AV44" s="883"/>
      <c r="AW44" s="883"/>
      <c r="AX44" s="654"/>
      <c r="AZ44" s="757"/>
      <c r="BA44" s="758"/>
      <c r="BB44" s="757"/>
      <c r="BC44" s="666"/>
      <c r="BD44" s="665"/>
      <c r="BE44" s="666"/>
      <c r="BF44" s="665"/>
      <c r="BG44" s="666"/>
      <c r="BH44" s="665"/>
      <c r="BI44" s="666"/>
      <c r="BJ44" s="665"/>
      <c r="BK44" s="662"/>
      <c r="BL44" s="665"/>
      <c r="BM44" s="662"/>
      <c r="BN44" s="665"/>
      <c r="BO44" s="662"/>
      <c r="BP44" s="665"/>
      <c r="BQ44" s="662"/>
      <c r="BR44" s="665"/>
      <c r="BS44" s="662"/>
      <c r="BT44" s="665"/>
      <c r="BU44" s="662"/>
      <c r="BV44" s="665"/>
      <c r="BW44" s="666"/>
      <c r="BX44" s="665"/>
      <c r="BY44" s="662"/>
      <c r="BZ44" s="665"/>
      <c r="CA44" s="662"/>
      <c r="CB44" s="665"/>
      <c r="CC44" s="662"/>
      <c r="CD44" s="665"/>
      <c r="CE44" s="662"/>
      <c r="CF44" s="665"/>
      <c r="CG44" s="662"/>
      <c r="CH44" s="665"/>
      <c r="CI44" s="662"/>
      <c r="CJ44" s="665"/>
      <c r="CK44" s="662"/>
      <c r="CL44" s="665"/>
      <c r="CM44" s="662"/>
      <c r="CN44" s="665"/>
      <c r="CO44" s="662"/>
      <c r="CP44" s="665"/>
      <c r="CQ44" s="662"/>
      <c r="CR44" s="665"/>
      <c r="CS44" s="662"/>
      <c r="CT44" s="58"/>
      <c r="CU44" s="261"/>
    </row>
    <row r="45" spans="3:99" ht="15" customHeight="1">
      <c r="C45" s="301" t="s">
        <v>267</v>
      </c>
      <c r="D45" s="859" t="s">
        <v>691</v>
      </c>
      <c r="E45" s="883"/>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654"/>
      <c r="AZ45" s="757"/>
      <c r="BA45" s="758"/>
      <c r="BB45" s="757"/>
      <c r="BC45" s="666"/>
      <c r="BD45" s="665"/>
      <c r="BE45" s="666"/>
      <c r="BF45" s="665"/>
      <c r="BG45" s="666"/>
      <c r="BH45" s="665"/>
      <c r="BI45" s="666"/>
      <c r="BJ45" s="665"/>
      <c r="BK45" s="662"/>
      <c r="BL45" s="665"/>
      <c r="BM45" s="662"/>
      <c r="BN45" s="665"/>
      <c r="BO45" s="662"/>
      <c r="BP45" s="665"/>
      <c r="BQ45" s="662"/>
      <c r="BR45" s="665"/>
      <c r="BS45" s="662"/>
      <c r="BT45" s="665"/>
      <c r="BU45" s="662"/>
      <c r="BV45" s="665"/>
      <c r="BW45" s="666"/>
      <c r="BX45" s="665"/>
      <c r="BY45" s="662"/>
      <c r="BZ45" s="665"/>
      <c r="CA45" s="662"/>
      <c r="CB45" s="665"/>
      <c r="CC45" s="662"/>
      <c r="CD45" s="665"/>
      <c r="CE45" s="662"/>
      <c r="CF45" s="665"/>
      <c r="CG45" s="662"/>
      <c r="CH45" s="665"/>
      <c r="CI45" s="662"/>
      <c r="CJ45" s="665"/>
      <c r="CK45" s="662"/>
      <c r="CL45" s="665"/>
      <c r="CM45" s="662"/>
      <c r="CN45" s="665"/>
      <c r="CO45" s="662"/>
      <c r="CP45" s="665"/>
      <c r="CQ45" s="662"/>
      <c r="CR45" s="665"/>
      <c r="CS45" s="662"/>
      <c r="CT45" s="61"/>
      <c r="CU45" s="265"/>
    </row>
    <row r="46" spans="1:113" s="208" customFormat="1" ht="24.75" customHeight="1">
      <c r="A46" s="297"/>
      <c r="B46" s="297"/>
      <c r="C46" s="301" t="s">
        <v>267</v>
      </c>
      <c r="D46" s="930" t="s">
        <v>331</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410"/>
      <c r="AZ46" s="757">
        <v>3</v>
      </c>
      <c r="BA46" s="759" t="s">
        <v>260</v>
      </c>
      <c r="BB46" s="738" t="s">
        <v>245</v>
      </c>
      <c r="BC46" s="666">
        <f>F10</f>
        <v>0</v>
      </c>
      <c r="BD46" s="666"/>
      <c r="BE46" s="666">
        <f>H10</f>
        <v>207</v>
      </c>
      <c r="BF46" s="666"/>
      <c r="BG46" s="666">
        <f>J10</f>
        <v>241</v>
      </c>
      <c r="BH46" s="666"/>
      <c r="BI46" s="666">
        <f>L10</f>
        <v>0</v>
      </c>
      <c r="BJ46" s="666"/>
      <c r="BK46" s="666">
        <f>N10</f>
        <v>249</v>
      </c>
      <c r="BL46" s="666"/>
      <c r="BM46" s="666">
        <f>P10</f>
        <v>268</v>
      </c>
      <c r="BN46" s="666"/>
      <c r="BO46" s="666">
        <f>R10</f>
        <v>275.200012207031</v>
      </c>
      <c r="BP46" s="666"/>
      <c r="BQ46" s="666">
        <f>T10</f>
        <v>286</v>
      </c>
      <c r="BR46" s="666"/>
      <c r="BS46" s="666">
        <f>V10</f>
        <v>250.899993896484</v>
      </c>
      <c r="BT46" s="666"/>
      <c r="BU46" s="666">
        <f>X10</f>
        <v>257.799987792969</v>
      </c>
      <c r="BV46" s="666"/>
      <c r="BW46" s="666">
        <f>Z10</f>
        <v>270.799987792969</v>
      </c>
      <c r="BX46" s="666"/>
      <c r="BY46" s="666">
        <f>AB10</f>
        <v>266.899993896484</v>
      </c>
      <c r="BZ46" s="666"/>
      <c r="CA46" s="666">
        <f>AD10</f>
        <v>292.600006103516</v>
      </c>
      <c r="CB46" s="666"/>
      <c r="CC46" s="666">
        <f>AF10</f>
        <v>302.399993896484</v>
      </c>
      <c r="CD46" s="666"/>
      <c r="CE46" s="666">
        <f>AH10</f>
        <v>274.5</v>
      </c>
      <c r="CF46" s="666"/>
      <c r="CG46" s="666">
        <f>AJ10</f>
        <v>291.200012207031</v>
      </c>
      <c r="CH46" s="666"/>
      <c r="CI46" s="666">
        <f>AL10</f>
        <v>280.6</v>
      </c>
      <c r="CJ46" s="666"/>
      <c r="CK46" s="666">
        <f>AN10</f>
        <v>288</v>
      </c>
      <c r="CL46" s="666"/>
      <c r="CM46" s="666">
        <f>AP10</f>
        <v>299.7</v>
      </c>
      <c r="CN46" s="666"/>
      <c r="CO46" s="666">
        <f>AR10</f>
        <v>329.6</v>
      </c>
      <c r="CP46" s="666"/>
      <c r="CQ46" s="666">
        <f>AT10</f>
        <v>352.4</v>
      </c>
      <c r="CR46" s="666"/>
      <c r="CS46" s="666">
        <f>AV10</f>
        <v>336.6</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24" t="s">
        <v>332</v>
      </c>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410"/>
      <c r="AZ47" s="760">
        <v>32</v>
      </c>
      <c r="BA47" s="761" t="s">
        <v>519</v>
      </c>
      <c r="BB47" s="738" t="s">
        <v>245</v>
      </c>
      <c r="BC47" s="669">
        <f>F8+F9</f>
        <v>0</v>
      </c>
      <c r="BD47" s="669"/>
      <c r="BE47" s="669">
        <f>H8+H9</f>
        <v>207</v>
      </c>
      <c r="BF47" s="669"/>
      <c r="BG47" s="669">
        <f>J8+J9</f>
        <v>241</v>
      </c>
      <c r="BH47" s="669"/>
      <c r="BI47" s="669">
        <f>L8+L9</f>
        <v>0</v>
      </c>
      <c r="BJ47" s="669"/>
      <c r="BK47" s="669">
        <f>N8+N9</f>
        <v>249</v>
      </c>
      <c r="BL47" s="669"/>
      <c r="BM47" s="669">
        <f>P8+P9</f>
        <v>268</v>
      </c>
      <c r="BN47" s="669"/>
      <c r="BO47" s="669">
        <f>R8+R9</f>
        <v>275.200012207031</v>
      </c>
      <c r="BP47" s="669"/>
      <c r="BQ47" s="669">
        <f>T8+T9</f>
        <v>286</v>
      </c>
      <c r="BR47" s="669"/>
      <c r="BS47" s="669">
        <f>V8+V9</f>
        <v>250.899993896484</v>
      </c>
      <c r="BT47" s="669"/>
      <c r="BU47" s="669">
        <f>X8+X9</f>
        <v>257.799987792969</v>
      </c>
      <c r="BV47" s="669"/>
      <c r="BW47" s="669">
        <f>Z8+Z9</f>
        <v>270.799987792969</v>
      </c>
      <c r="BX47" s="669"/>
      <c r="BY47" s="669">
        <f>AB8+AB9</f>
        <v>266.899993896484</v>
      </c>
      <c r="BZ47" s="669"/>
      <c r="CA47" s="669">
        <f>AD8+AD9</f>
        <v>292.600006103516</v>
      </c>
      <c r="CB47" s="669"/>
      <c r="CC47" s="669">
        <f>AF8+AF9</f>
        <v>302.399993896484</v>
      </c>
      <c r="CD47" s="669"/>
      <c r="CE47" s="669">
        <f>AH8+AH9</f>
        <v>274.5</v>
      </c>
      <c r="CF47" s="669"/>
      <c r="CG47" s="669">
        <f>AJ8+AJ9</f>
        <v>291.200012207031</v>
      </c>
      <c r="CH47" s="669"/>
      <c r="CI47" s="669">
        <f>AL8+AL9</f>
        <v>280.6</v>
      </c>
      <c r="CJ47" s="669"/>
      <c r="CK47" s="669">
        <f>AN8+AN9</f>
        <v>288</v>
      </c>
      <c r="CL47" s="669"/>
      <c r="CM47" s="669">
        <f>AP8+AP9</f>
        <v>299.7</v>
      </c>
      <c r="CN47" s="669"/>
      <c r="CO47" s="669">
        <f>AR8+AR9</f>
        <v>329.6</v>
      </c>
      <c r="CP47" s="669"/>
      <c r="CQ47" s="669">
        <f>AT8+AT9</f>
        <v>352.4</v>
      </c>
      <c r="CR47" s="669"/>
      <c r="CS47" s="669">
        <f>AV8+AV9</f>
        <v>336.6</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410"/>
      <c r="AZ48" s="762" t="s">
        <v>295</v>
      </c>
      <c r="BA48" s="761" t="s">
        <v>707</v>
      </c>
      <c r="BB48" s="738"/>
      <c r="BC48" s="666" t="str">
        <f>IF(OR(ISBLANK(F8),ISBLANK(F9),ISBLANK(F10)),"N/A",IF((BC46=BC47),"ok","&lt;&gt;"))</f>
        <v>N/A</v>
      </c>
      <c r="BD48" s="666"/>
      <c r="BE48" s="666" t="str">
        <f>IF(OR(ISBLANK(H8),ISBLANK(H9),ISBLANK(H10)),"N/A",IF((BE46=BE47),"ok","&lt;&gt;"))</f>
        <v>N/A</v>
      </c>
      <c r="BF48" s="666"/>
      <c r="BG48" s="666" t="str">
        <f>IF(OR(ISBLANK(J8),ISBLANK(J9),ISBLANK(J10)),"N/A",IF((BG46=BG47),"ok","&lt;&gt;"))</f>
        <v>N/A</v>
      </c>
      <c r="BH48" s="666"/>
      <c r="BI48" s="666" t="str">
        <f>IF(OR(ISBLANK(L8),ISBLANK(L9),ISBLANK(L10)),"N/A",IF((BI46=BI47),"ok","&lt;&gt;"))</f>
        <v>N/A</v>
      </c>
      <c r="BJ48" s="666"/>
      <c r="BK48" s="666" t="str">
        <f>IF(OR(ISBLANK(N8),ISBLANK(N9),ISBLANK(N10)),"N/A",IF((BK46=BK47),"ok","&lt;&gt;"))</f>
        <v>N/A</v>
      </c>
      <c r="BL48" s="666"/>
      <c r="BM48" s="666" t="str">
        <f>IF(OR(ISBLANK(P8),ISBLANK(P9),ISBLANK(P10)),"N/A",IF((BM46=BM47),"ok","&lt;&gt;"))</f>
        <v>N/A</v>
      </c>
      <c r="BN48" s="666"/>
      <c r="BO48" s="666" t="str">
        <f>IF(OR(ISBLANK(R8),ISBLANK(R9),ISBLANK(R10)),"N/A",IF((BO46=BO47),"ok","&lt;&gt;"))</f>
        <v>N/A</v>
      </c>
      <c r="BP48" s="666"/>
      <c r="BQ48" s="666" t="str">
        <f>IF(OR(ISBLANK(T8),ISBLANK(T9),ISBLANK(T10)),"N/A",IF((BQ46=BQ47),"ok","&lt;&gt;"))</f>
        <v>N/A</v>
      </c>
      <c r="BR48" s="666"/>
      <c r="BS48" s="666" t="str">
        <f>IF(OR(ISBLANK(V8),ISBLANK(V9),ISBLANK(V10)),"N/A",IF((BS46=BS47),"ok","&lt;&gt;"))</f>
        <v>N/A</v>
      </c>
      <c r="BT48" s="666"/>
      <c r="BU48" s="666" t="str">
        <f>IF(OR(ISBLANK(X8),ISBLANK(X9),ISBLANK(X10)),"N/A",IF((BU46=BU47),"ok","&lt;&gt;"))</f>
        <v>N/A</v>
      </c>
      <c r="BV48" s="666"/>
      <c r="BW48" s="666" t="str">
        <f>IF(OR(ISBLANK(Z8),ISBLANK(Z9),ISBLANK(Z10)),"N/A",IF((BW46=BW47),"ok","&lt;&gt;"))</f>
        <v>N/A</v>
      </c>
      <c r="BX48" s="666"/>
      <c r="BY48" s="666" t="str">
        <f>IF(OR(ISBLANK(AB8),ISBLANK(AB9),ISBLANK(AB10)),"N/A",IF((BY46=BY47),"ok","&lt;&gt;"))</f>
        <v>N/A</v>
      </c>
      <c r="BZ48" s="666"/>
      <c r="CA48" s="666" t="str">
        <f>IF(OR(ISBLANK(AD8),ISBLANK(AD9),ISBLANK(AD10)),"N/A",IF((CA46=CA47),"ok","&lt;&gt;"))</f>
        <v>N/A</v>
      </c>
      <c r="CB48" s="666"/>
      <c r="CC48" s="666" t="str">
        <f>IF(OR(ISBLANK(AF8),ISBLANK(AF9),ISBLANK(AF10)),"N/A",IF((CC46=CC47),"ok","&lt;&gt;"))</f>
        <v>N/A</v>
      </c>
      <c r="CD48" s="666"/>
      <c r="CE48" s="666" t="str">
        <f>IF(OR(ISBLANK(AH8),ISBLANK(AH9),ISBLANK(AH10)),"N/A",IF((CE46=CE47),"ok","&lt;&gt;"))</f>
        <v>N/A</v>
      </c>
      <c r="CF48" s="666"/>
      <c r="CG48" s="666" t="str">
        <f>IF(OR(ISBLANK(AJ8),ISBLANK(AJ9),ISBLANK(AJ10)),"N/A",IF((CG46=CG47),"ok","&lt;&gt;"))</f>
        <v>N/A</v>
      </c>
      <c r="CH48" s="666"/>
      <c r="CI48" s="666" t="str">
        <f>IF(OR(ISBLANK(AL8),ISBLANK(AL9),ISBLANK(AL10)),"N/A",IF((CI46=CI47),"ok","&lt;&gt;"))</f>
        <v>N/A</v>
      </c>
      <c r="CJ48" s="666"/>
      <c r="CK48" s="666" t="str">
        <f>IF(OR(ISBLANK(AN8),ISBLANK(AN9),ISBLANK(AN10)),"N/A",IF((CK46=CK47),"ok","&lt;&gt;"))</f>
        <v>N/A</v>
      </c>
      <c r="CL48" s="666"/>
      <c r="CM48" s="666" t="str">
        <f>IF(OR(ISBLANK(AP8),ISBLANK(AP9),ISBLANK(AP10)),"N/A",IF((CM46=CM47),"ok","&lt;&gt;"))</f>
        <v>N/A</v>
      </c>
      <c r="CN48" s="666"/>
      <c r="CO48" s="666" t="str">
        <f>IF(OR(ISBLANK(AR8),ISBLANK(AR9),ISBLANK(AR10)),"N/A",IF((CO46=CO47),"ok","&lt;&gt;"))</f>
        <v>N/A</v>
      </c>
      <c r="CP48" s="666"/>
      <c r="CQ48" s="666" t="str">
        <f>IF(OR(ISBLANK(AT8),ISBLANK(AT9),ISBLANK(AT10)),"N/A",IF((CQ46=CQ47),"ok","&lt;&gt;"))</f>
        <v>N/A</v>
      </c>
      <c r="CR48" s="666"/>
      <c r="CS48" s="666" t="str">
        <f>IF(OR(ISBLANK(AV8),ISBLANK(AV9),ISBLANK(AV10)),"N/A",IF((CS46=CS47),"ok","&lt;&gt;"))</f>
        <v>N/A</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5"/>
      <c r="F49" s="655"/>
      <c r="G49" s="655"/>
      <c r="H49" s="655"/>
      <c r="I49" s="655"/>
      <c r="J49" s="887" t="str">
        <f>D11&amp;" (W2,4)"</f>
        <v>لمياه المعادة دون استخدام (W2,4)</v>
      </c>
      <c r="K49" s="888"/>
      <c r="L49" s="888"/>
      <c r="M49" s="888"/>
      <c r="N49" s="889"/>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410"/>
      <c r="AZ49" s="741">
        <v>20</v>
      </c>
      <c r="BA49" s="763" t="s">
        <v>705</v>
      </c>
      <c r="BB49" s="738" t="s">
        <v>245</v>
      </c>
      <c r="BC49" s="669">
        <f>F28</f>
        <v>0</v>
      </c>
      <c r="BD49" s="669"/>
      <c r="BE49" s="669">
        <f>H28</f>
        <v>244</v>
      </c>
      <c r="BF49" s="669"/>
      <c r="BG49" s="669">
        <f>J28</f>
        <v>279.399993896484</v>
      </c>
      <c r="BH49" s="669"/>
      <c r="BI49" s="669">
        <f>L28</f>
        <v>43.0999984741211</v>
      </c>
      <c r="BJ49" s="669"/>
      <c r="BK49" s="669">
        <f>N28</f>
        <v>291.600006103516</v>
      </c>
      <c r="BL49" s="669"/>
      <c r="BM49" s="669">
        <f>P28</f>
        <v>310.200012207031</v>
      </c>
      <c r="BN49" s="669"/>
      <c r="BO49" s="669">
        <f>R28</f>
        <v>319.100006103516</v>
      </c>
      <c r="BP49" s="669"/>
      <c r="BQ49" s="669">
        <f>T28</f>
        <v>335.600006103516</v>
      </c>
      <c r="BR49" s="669"/>
      <c r="BS49" s="669">
        <f>V28</f>
        <v>303.600006103516</v>
      </c>
      <c r="BT49" s="669"/>
      <c r="BU49" s="669">
        <f>X28</f>
        <v>315.200012207031</v>
      </c>
      <c r="BV49" s="669"/>
      <c r="BW49" s="669">
        <f>Z28</f>
        <v>331.100006103516</v>
      </c>
      <c r="BX49" s="669"/>
      <c r="BY49" s="669">
        <f>AB28</f>
        <v>323.899993896484</v>
      </c>
      <c r="BZ49" s="669"/>
      <c r="CA49" s="669">
        <f>AD28</f>
        <v>349.200012207031</v>
      </c>
      <c r="CB49" s="669"/>
      <c r="CC49" s="669">
        <f>AF28</f>
        <v>365.700012207031</v>
      </c>
      <c r="CD49" s="669"/>
      <c r="CE49" s="669">
        <f>AH28</f>
        <v>342.700012207031</v>
      </c>
      <c r="CF49" s="669"/>
      <c r="CG49" s="669">
        <f>AJ28</f>
        <v>365.299987792969</v>
      </c>
      <c r="CH49" s="669"/>
      <c r="CI49" s="669">
        <f>AL28</f>
        <v>363.6</v>
      </c>
      <c r="CJ49" s="669"/>
      <c r="CK49" s="669">
        <f>AN28</f>
        <v>375.2</v>
      </c>
      <c r="CL49" s="669"/>
      <c r="CM49" s="669">
        <f>AP28</f>
        <v>389.5</v>
      </c>
      <c r="CN49" s="669"/>
      <c r="CO49" s="669">
        <f>AR28</f>
        <v>417.90000000000003</v>
      </c>
      <c r="CP49" s="669"/>
      <c r="CQ49" s="669">
        <f>AT28</f>
        <v>448.4</v>
      </c>
      <c r="CR49" s="669"/>
      <c r="CS49" s="669">
        <f>AV28</f>
        <v>437.20000000000005</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9"/>
      <c r="D50" s="307"/>
      <c r="E50" s="884" t="str">
        <f>D12&amp;" (W2,5)"</f>
        <v>صافي المياه العذبة المستخرجة =)3-4( (W2,5)</v>
      </c>
      <c r="F50" s="885"/>
      <c r="G50" s="885"/>
      <c r="H50" s="88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60">
        <v>33</v>
      </c>
      <c r="BA50" s="764" t="s">
        <v>708</v>
      </c>
      <c r="BB50" s="738" t="s">
        <v>245</v>
      </c>
      <c r="BC50" s="669">
        <f>F12+F24+F25+F26-F27</f>
        <v>38.0999984741211</v>
      </c>
      <c r="BD50" s="669"/>
      <c r="BE50" s="669">
        <f>H12+H24+H25+H26-H27</f>
        <v>37</v>
      </c>
      <c r="BF50" s="669"/>
      <c r="BG50" s="669">
        <f>J12+J24+J25+J26-J27</f>
        <v>38.4000015258789</v>
      </c>
      <c r="BH50" s="669"/>
      <c r="BI50" s="669">
        <f>L12+L24+L25+L26-L27</f>
        <v>43.0999984741211</v>
      </c>
      <c r="BJ50" s="669"/>
      <c r="BK50" s="669">
        <f>N12+N24+N25+N26-N27</f>
        <v>42.5999984741211</v>
      </c>
      <c r="BL50" s="669"/>
      <c r="BM50" s="669">
        <f>P12+P24+P25+P26-P27</f>
        <v>42.2000007629395</v>
      </c>
      <c r="BN50" s="669"/>
      <c r="BO50" s="669">
        <f>R12+R24+R25+R26-R27</f>
        <v>43.9000015258789</v>
      </c>
      <c r="BP50" s="669"/>
      <c r="BQ50" s="669">
        <f>T12+T24+T25+T26-T27</f>
        <v>49.5999984741211</v>
      </c>
      <c r="BR50" s="669"/>
      <c r="BS50" s="669">
        <f>V12+V24+V25+V26-V27</f>
        <v>52.7000007629395</v>
      </c>
      <c r="BT50" s="669"/>
      <c r="BU50" s="669">
        <f>X12+X24+X25+X26-X27</f>
        <v>57.4000015258789</v>
      </c>
      <c r="BV50" s="669"/>
      <c r="BW50" s="669">
        <f>Z12+Z24+Z25+Z26-Z27</f>
        <v>60.2999992370605</v>
      </c>
      <c r="BX50" s="669"/>
      <c r="BY50" s="669">
        <f>AB12+AB24+AB25+AB26-AB27</f>
        <v>57</v>
      </c>
      <c r="BZ50" s="669"/>
      <c r="CA50" s="669">
        <f>AD12+AD24+AD25+AD26-AD27</f>
        <v>56.5999984741211</v>
      </c>
      <c r="CB50" s="669"/>
      <c r="CC50" s="669">
        <f>AF12+AF24+AF25+AF26-AF27</f>
        <v>63.2999992370605</v>
      </c>
      <c r="CD50" s="669"/>
      <c r="CE50" s="669">
        <f>AH12+AH24+AH25+AH26-AH27</f>
        <v>68.19999980926514</v>
      </c>
      <c r="CF50" s="669"/>
      <c r="CG50" s="669">
        <f>AJ12+AJ24+AJ25+AJ26-AJ27</f>
        <v>74.09999704360963</v>
      </c>
      <c r="CH50" s="669"/>
      <c r="CI50" s="669">
        <f>AL12+AL24+AL25+AL26-AL27</f>
        <v>83</v>
      </c>
      <c r="CJ50" s="669"/>
      <c r="CK50" s="669">
        <f>AN12+AN24+AN25+AN26-AN27</f>
        <v>87.2</v>
      </c>
      <c r="CL50" s="669"/>
      <c r="CM50" s="669">
        <f>AP12+AP24+AP25+AP26-AP27</f>
        <v>89.8</v>
      </c>
      <c r="CN50" s="669"/>
      <c r="CO50" s="669">
        <f>AR12+AR24+AR25+AR26-AR27</f>
        <v>88.3</v>
      </c>
      <c r="CP50" s="669"/>
      <c r="CQ50" s="669">
        <f>AT12+AT24+AT25+AT26-AT27</f>
        <v>96</v>
      </c>
      <c r="CR50" s="669"/>
      <c r="CS50" s="669">
        <f>AV12+AV24+AV25+AV26-AV27</f>
        <v>100.60000000000001</v>
      </c>
      <c r="CT50" s="58"/>
      <c r="CU50" s="265"/>
    </row>
    <row r="51" spans="3:99" ht="20.25" customHeight="1">
      <c r="C51" s="609"/>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2" t="s">
        <v>295</v>
      </c>
      <c r="BA51" s="761" t="s">
        <v>634</v>
      </c>
      <c r="BB51" s="738"/>
      <c r="BC51" s="666" t="str">
        <f>IF(OR(ISBLANK(F12),ISBLANK(F24),ISBLANK(F25),ISBLANK(F26),ISBLANK(F27),ISBLANK(F28)),"N/A",IF((BC49=BC50),"ok","&lt;&gt;"))</f>
        <v>N/A</v>
      </c>
      <c r="BD51" s="666"/>
      <c r="BE51" s="666" t="str">
        <f>IF(OR(ISBLANK(H12),ISBLANK(H24),ISBLANK(H25),ISBLANK(H26),ISBLANK(H27),ISBLANK(H28)),"N/A",IF((BE49=BE50),"ok","&lt;&gt;"))</f>
        <v>N/A</v>
      </c>
      <c r="BF51" s="666"/>
      <c r="BG51" s="666" t="str">
        <f aca="true" t="shared" si="21" ref="BG51:CS51">IF(OR(ISBLANK(J12),ISBLANK(J24),ISBLANK(J25),ISBLANK(J26),ISBLANK(J27),ISBLANK(J28)),"N/A",IF((BG49=BG50),"ok","&lt;&gt;"))</f>
        <v>N/A</v>
      </c>
      <c r="BH51" s="666"/>
      <c r="BI51" s="666" t="str">
        <f t="shared" si="21"/>
        <v>N/A</v>
      </c>
      <c r="BJ51" s="666"/>
      <c r="BK51" s="666" t="str">
        <f t="shared" si="21"/>
        <v>N/A</v>
      </c>
      <c r="BL51" s="666"/>
      <c r="BM51" s="666" t="str">
        <f t="shared" si="21"/>
        <v>N/A</v>
      </c>
      <c r="BN51" s="666"/>
      <c r="BO51" s="666" t="str">
        <f t="shared" si="21"/>
        <v>N/A</v>
      </c>
      <c r="BP51" s="666"/>
      <c r="BQ51" s="666" t="str">
        <f t="shared" si="21"/>
        <v>N/A</v>
      </c>
      <c r="BR51" s="666"/>
      <c r="BS51" s="666" t="str">
        <f t="shared" si="21"/>
        <v>N/A</v>
      </c>
      <c r="BT51" s="666"/>
      <c r="BU51" s="666" t="str">
        <f t="shared" si="21"/>
        <v>N/A</v>
      </c>
      <c r="BV51" s="666"/>
      <c r="BW51" s="666" t="str">
        <f t="shared" si="21"/>
        <v>N/A</v>
      </c>
      <c r="BX51" s="666"/>
      <c r="BY51" s="666" t="str">
        <f t="shared" si="21"/>
        <v>N/A</v>
      </c>
      <c r="BZ51" s="666"/>
      <c r="CA51" s="666" t="str">
        <f t="shared" si="21"/>
        <v>N/A</v>
      </c>
      <c r="CB51" s="666"/>
      <c r="CC51" s="666" t="str">
        <f t="shared" si="21"/>
        <v>N/A</v>
      </c>
      <c r="CD51" s="666"/>
      <c r="CE51" s="666" t="str">
        <f t="shared" si="21"/>
        <v>N/A</v>
      </c>
      <c r="CF51" s="666"/>
      <c r="CG51" s="666" t="str">
        <f t="shared" si="21"/>
        <v>N/A</v>
      </c>
      <c r="CH51" s="666"/>
      <c r="CI51" s="666" t="str">
        <f t="shared" si="21"/>
        <v>N/A</v>
      </c>
      <c r="CJ51" s="666"/>
      <c r="CK51" s="666" t="str">
        <f t="shared" si="21"/>
        <v>N/A</v>
      </c>
      <c r="CL51" s="666"/>
      <c r="CM51" s="666" t="str">
        <f t="shared" si="21"/>
        <v>N/A</v>
      </c>
      <c r="CN51" s="666"/>
      <c r="CO51" s="666" t="str">
        <f t="shared" si="21"/>
        <v>N/A</v>
      </c>
      <c r="CP51" s="666"/>
      <c r="CQ51" s="666" t="str">
        <f t="shared" si="21"/>
        <v>N/A</v>
      </c>
      <c r="CR51" s="666"/>
      <c r="CS51" s="666" t="str">
        <f t="shared" si="21"/>
        <v>N/A</v>
      </c>
      <c r="CT51" s="58"/>
      <c r="CU51" s="261"/>
    </row>
    <row r="52" spans="3:99" ht="20.25" customHeight="1">
      <c r="C52" s="609"/>
      <c r="D52" s="549" t="str">
        <f>D14&amp;" (W2,6)"</f>
        <v>صناعة إمدادات المياه) ISIC 36 ( (W2,6)</v>
      </c>
      <c r="E52" s="550"/>
      <c r="F52" s="890" t="str">
        <f>D24&amp;" (W2,16)"</f>
        <v>المياه المزالة ملوحتها (W2,16)</v>
      </c>
      <c r="G52" s="891"/>
      <c r="H52" s="892"/>
      <c r="I52" s="544"/>
      <c r="J52" s="544"/>
      <c r="K52" s="544"/>
      <c r="L52" s="544"/>
      <c r="M52" s="544"/>
      <c r="N52" s="544"/>
      <c r="O52" s="544"/>
      <c r="P52" s="544"/>
      <c r="Q52" s="544"/>
      <c r="R52" s="544"/>
      <c r="S52" s="544"/>
      <c r="T52" s="544"/>
      <c r="U52" s="544"/>
      <c r="V52" s="544"/>
      <c r="W52" s="544"/>
      <c r="X52" s="544"/>
      <c r="Y52" s="544"/>
      <c r="Z52" s="303"/>
      <c r="AA52" s="601"/>
      <c r="AB52" s="601"/>
      <c r="AC52" s="544"/>
      <c r="AD52" s="544"/>
      <c r="AE52" s="303"/>
      <c r="AF52" s="601"/>
      <c r="AG52" s="601"/>
      <c r="AH52" s="601"/>
      <c r="AI52" s="547"/>
      <c r="AJ52" s="547"/>
      <c r="AK52" s="909"/>
      <c r="AL52" s="910"/>
      <c r="AM52" s="910"/>
      <c r="AN52" s="544"/>
      <c r="AO52" s="544"/>
      <c r="AP52" s="544"/>
      <c r="AQ52" s="603"/>
      <c r="AR52" s="603"/>
      <c r="AS52" s="603"/>
      <c r="AT52" s="603"/>
      <c r="AU52" s="603"/>
      <c r="AV52" s="603"/>
      <c r="AW52" s="603"/>
      <c r="AX52" s="208"/>
      <c r="AZ52" s="741">
        <v>5</v>
      </c>
      <c r="BA52" s="759" t="s">
        <v>709</v>
      </c>
      <c r="BB52" s="738" t="s">
        <v>245</v>
      </c>
      <c r="BC52" s="666">
        <f>F12</f>
        <v>0</v>
      </c>
      <c r="BD52" s="666"/>
      <c r="BE52" s="666">
        <f>H12</f>
        <v>0</v>
      </c>
      <c r="BF52" s="666"/>
      <c r="BG52" s="666">
        <f>J12</f>
        <v>0</v>
      </c>
      <c r="BH52" s="666"/>
      <c r="BI52" s="666">
        <f>L12</f>
        <v>0</v>
      </c>
      <c r="BJ52" s="666"/>
      <c r="BK52" s="666">
        <f>N12</f>
        <v>0</v>
      </c>
      <c r="BL52" s="666"/>
      <c r="BM52" s="666">
        <f>P12</f>
        <v>0</v>
      </c>
      <c r="BN52" s="666"/>
      <c r="BO52" s="666">
        <f>R12</f>
        <v>0</v>
      </c>
      <c r="BP52" s="666"/>
      <c r="BQ52" s="666">
        <f>T12</f>
        <v>0</v>
      </c>
      <c r="BR52" s="666"/>
      <c r="BS52" s="666">
        <f>V12</f>
        <v>0</v>
      </c>
      <c r="BT52" s="666"/>
      <c r="BU52" s="666">
        <f>X12</f>
        <v>0</v>
      </c>
      <c r="BV52" s="666"/>
      <c r="BW52" s="666">
        <f>Z12</f>
        <v>0</v>
      </c>
      <c r="BX52" s="666"/>
      <c r="BY52" s="666">
        <f>AB12</f>
        <v>0</v>
      </c>
      <c r="BZ52" s="666"/>
      <c r="CA52" s="666">
        <f>AD12</f>
        <v>0</v>
      </c>
      <c r="CB52" s="666"/>
      <c r="CC52" s="666">
        <f>AF12</f>
        <v>0</v>
      </c>
      <c r="CD52" s="666"/>
      <c r="CE52" s="666">
        <f>AH12</f>
        <v>0</v>
      </c>
      <c r="CF52" s="666"/>
      <c r="CG52" s="666">
        <f>AJ12</f>
        <v>0</v>
      </c>
      <c r="CH52" s="666"/>
      <c r="CI52" s="666">
        <f>AL12</f>
        <v>0</v>
      </c>
      <c r="CJ52" s="666"/>
      <c r="CK52" s="666">
        <f>AN12</f>
        <v>0</v>
      </c>
      <c r="CL52" s="666"/>
      <c r="CM52" s="666">
        <f>AP12</f>
        <v>0</v>
      </c>
      <c r="CN52" s="666"/>
      <c r="CO52" s="666">
        <f>AR12</f>
        <v>0</v>
      </c>
      <c r="CP52" s="666"/>
      <c r="CQ52" s="666">
        <f>AT12</f>
        <v>0</v>
      </c>
      <c r="CR52" s="666"/>
      <c r="CS52" s="666">
        <f>AV12</f>
        <v>0</v>
      </c>
      <c r="CT52" s="61"/>
      <c r="CU52" s="265"/>
    </row>
    <row r="53" spans="2:99" ht="8.25" customHeight="1">
      <c r="B53" s="541"/>
      <c r="C53" s="612"/>
      <c r="D53" s="613"/>
      <c r="E53" s="544"/>
      <c r="F53" s="916"/>
      <c r="G53" s="917"/>
      <c r="H53" s="918"/>
      <c r="I53" s="544"/>
      <c r="J53" s="544"/>
      <c r="K53" s="544"/>
      <c r="L53" s="544"/>
      <c r="M53" s="544"/>
      <c r="N53" s="544"/>
      <c r="O53" s="544"/>
      <c r="P53" s="544"/>
      <c r="Q53" s="544"/>
      <c r="R53" s="544"/>
      <c r="S53" s="544"/>
      <c r="T53" s="544"/>
      <c r="U53" s="911" t="str">
        <f>D31</f>
        <v>ومنها ما تستخدمه:</v>
      </c>
      <c r="V53" s="912"/>
      <c r="W53" s="544"/>
      <c r="X53" s="544"/>
      <c r="Y53" s="544"/>
      <c r="Z53" s="601"/>
      <c r="AK53" s="910"/>
      <c r="AL53" s="910"/>
      <c r="AM53" s="910"/>
      <c r="AN53" s="544"/>
      <c r="AO53" s="544"/>
      <c r="AP53" s="544"/>
      <c r="AQ53" s="303"/>
      <c r="AR53" s="601"/>
      <c r="AS53" s="601"/>
      <c r="AT53" s="601"/>
      <c r="AU53" s="601"/>
      <c r="AV53" s="601"/>
      <c r="AW53" s="601"/>
      <c r="AZ53" s="760">
        <v>34</v>
      </c>
      <c r="BA53" s="764" t="s">
        <v>710</v>
      </c>
      <c r="BB53" s="738" t="s">
        <v>245</v>
      </c>
      <c r="BC53" s="669">
        <f>SUM(F14:F16)+SUM(F18:F20)+SUM(F22:F23)</f>
        <v>0</v>
      </c>
      <c r="BD53" s="669"/>
      <c r="BE53" s="669">
        <f>SUM(H14:H16)+SUM(H18:H20)+SUM(H22:H23)</f>
        <v>0</v>
      </c>
      <c r="BF53" s="669"/>
      <c r="BG53" s="669">
        <f>SUM(J14:J16)+SUM(J18:J20)+SUM(J22:J23)</f>
        <v>0</v>
      </c>
      <c r="BH53" s="669"/>
      <c r="BI53" s="669">
        <f>SUM(L14:L16)+SUM(L18:L20)+SUM(L22:L23)</f>
        <v>0</v>
      </c>
      <c r="BJ53" s="669"/>
      <c r="BK53" s="669">
        <f>SUM(N14:N16)+SUM(N18:N20)+SUM(N22:N23)</f>
        <v>0</v>
      </c>
      <c r="BL53" s="669"/>
      <c r="BM53" s="669">
        <f>SUM(P14:P16)+SUM(P18:P20)+SUM(P22:P23)</f>
        <v>0</v>
      </c>
      <c r="BN53" s="669"/>
      <c r="BO53" s="669">
        <f>SUM(R14:R16)+SUM(R18:R20)+SUM(R22:R23)</f>
        <v>0</v>
      </c>
      <c r="BP53" s="669"/>
      <c r="BQ53" s="669">
        <f>SUM(T14:T16)+SUM(T18:T20)+SUM(T22:T23)</f>
        <v>0</v>
      </c>
      <c r="BR53" s="669"/>
      <c r="BS53" s="669">
        <f>SUM(V14:V16)+SUM(V18:V20)+SUM(V22:V23)</f>
        <v>0</v>
      </c>
      <c r="BT53" s="669"/>
      <c r="BU53" s="669">
        <f>SUM(X14:X16)+SUM(X18:X20)+SUM(X22:X23)</f>
        <v>0</v>
      </c>
      <c r="BV53" s="669"/>
      <c r="BW53" s="669">
        <f>SUM(Z14:Z16)+SUM(Z18:Z20)+SUM(Z22:Z23)</f>
        <v>0</v>
      </c>
      <c r="BX53" s="669"/>
      <c r="BY53" s="669">
        <f>SUM(AB14:AB16)+SUM(AB18:AB20)+SUM(AB22:AB23)</f>
        <v>0</v>
      </c>
      <c r="BZ53" s="669"/>
      <c r="CA53" s="669">
        <f>SUM(AD14:AD16)+SUM(AD18:AD20)+SUM(AD22:AD23)</f>
        <v>0</v>
      </c>
      <c r="CB53" s="669"/>
      <c r="CC53" s="669">
        <f>SUM(AF14:AF16)+SUM(AF18:AF20)+SUM(AF22:AF23)</f>
        <v>0</v>
      </c>
      <c r="CD53" s="669"/>
      <c r="CE53" s="669">
        <f>SUM(AH14:AH16)+SUM(AH18:AH20)+SUM(AH22:AH23)</f>
        <v>0</v>
      </c>
      <c r="CF53" s="669"/>
      <c r="CG53" s="669">
        <f>SUM(AJ14:AJ16)+SUM(AJ18:AJ20)+SUM(AJ22:AJ23)</f>
        <v>0</v>
      </c>
      <c r="CH53" s="669"/>
      <c r="CI53" s="669">
        <f>SUM(AL14:AL16)+SUM(AL18:AL20)+SUM(AL22:AL23)</f>
        <v>0</v>
      </c>
      <c r="CJ53" s="669"/>
      <c r="CK53" s="669">
        <f>SUM(AN14:AN16)+SUM(AN18:AN20)+SUM(AN22:AN23)</f>
        <v>0</v>
      </c>
      <c r="CL53" s="669"/>
      <c r="CM53" s="669">
        <f>SUM(AP14:AP16)+SUM(AP18:AP20)+SUM(AP22:AP23)</f>
        <v>0</v>
      </c>
      <c r="CN53" s="669"/>
      <c r="CO53" s="669">
        <f>SUM(AR14:AR16)+SUM(AR18:AR20)+SUM(AR22:AR23)</f>
        <v>0</v>
      </c>
      <c r="CP53" s="669"/>
      <c r="CQ53" s="669">
        <f>SUM(AT14:AT16)+SUM(AT18:AT20)+SUM(AT22:AT23)</f>
        <v>0</v>
      </c>
      <c r="CR53" s="669"/>
      <c r="CS53" s="669">
        <f>SUM(AV14:AV16)+SUM(AV18:AV20)+SUM(AV22:AV23)</f>
        <v>0</v>
      </c>
      <c r="CT53" s="58"/>
      <c r="CU53" s="261"/>
    </row>
    <row r="54" spans="2:99" ht="20.25" customHeight="1">
      <c r="B54" s="541"/>
      <c r="C54" s="612"/>
      <c r="D54" s="549" t="str">
        <f>D15&amp;" (W2,7)"</f>
        <v>الأسر المعيشية (W2,7)</v>
      </c>
      <c r="E54" s="544"/>
      <c r="F54" s="544"/>
      <c r="G54" s="544"/>
      <c r="H54" s="544"/>
      <c r="I54" s="544"/>
      <c r="J54" s="544"/>
      <c r="K54" s="544"/>
      <c r="L54" s="890" t="str">
        <f>LEFT(D28,LEN(D28)-16)&amp;" (W2,20)"</f>
        <v>إجمالي المياه العذبة المتاحة للاستخدام   (W2,20)</v>
      </c>
      <c r="M54" s="891"/>
      <c r="N54" s="892"/>
      <c r="O54" s="544"/>
      <c r="P54" s="544"/>
      <c r="Q54" s="890" t="str">
        <f>LEFT(D30,LEN(D30)-8)&amp;" (W2,22)"</f>
        <v>إجمالي استخدام المياه العذبة   (W2,22)</v>
      </c>
      <c r="R54" s="891"/>
      <c r="S54" s="892"/>
      <c r="U54" s="912"/>
      <c r="V54" s="912"/>
      <c r="W54" s="544"/>
      <c r="X54" s="544"/>
      <c r="Y54" s="544"/>
      <c r="Z54" s="601"/>
      <c r="AA54" s="884" t="str">
        <f>D32&amp;" (W2,23)"</f>
        <v>الأسر المعيشية (W2,23)</v>
      </c>
      <c r="AB54" s="919"/>
      <c r="AC54" s="919"/>
      <c r="AD54" s="919"/>
      <c r="AE54" s="919"/>
      <c r="AF54" s="919"/>
      <c r="AG54" s="919"/>
      <c r="AH54" s="925"/>
      <c r="AI54" s="925"/>
      <c r="AJ54" s="926"/>
      <c r="AK54" s="910"/>
      <c r="AL54" s="910"/>
      <c r="AM54" s="910"/>
      <c r="AN54" s="604"/>
      <c r="AO54" s="595"/>
      <c r="AP54" s="544"/>
      <c r="AQ54" s="601"/>
      <c r="AR54" s="601"/>
      <c r="AS54" s="601"/>
      <c r="AT54" s="601"/>
      <c r="AU54" s="601"/>
      <c r="AV54" s="601"/>
      <c r="AW54" s="601"/>
      <c r="AZ54" s="762" t="s">
        <v>295</v>
      </c>
      <c r="BA54" s="761" t="s">
        <v>711</v>
      </c>
      <c r="BB54" s="738"/>
      <c r="BC54" s="666" t="str">
        <f>IF(OR(ISBLANK(F12),ISBLANK(F14),ISBLANK(F15),ISBLANK(F16),ISBLANK(F18),ISBLANK(F19),ISBLANK(F20),ISBLANK(F22),ISBLANK(F23)),"N/A",IF(BC52=BC53,"ok","&lt;&gt;"))</f>
        <v>N/A</v>
      </c>
      <c r="BD54" s="666"/>
      <c r="BE54" s="666" t="str">
        <f>IF(OR(ISBLANK(H12),ISBLANK(H14),ISBLANK(H15),ISBLANK(H16),ISBLANK(H18),ISBLANK(H19),ISBLANK(H20),ISBLANK(H22),ISBLANK(H23)),"N/A",IF(BE52=BE53,"ok","&lt;&gt;"))</f>
        <v>N/A</v>
      </c>
      <c r="BF54" s="666"/>
      <c r="BG54" s="666" t="str">
        <f>IF(OR(ISBLANK(J12),ISBLANK(J14),ISBLANK(J15),ISBLANK(J16),ISBLANK(J18),ISBLANK(J19),ISBLANK(J20),ISBLANK(J22),ISBLANK(J23)),"N/A",IF(BG52=BG53,"ok","&lt;&gt;"))</f>
        <v>N/A</v>
      </c>
      <c r="BH54" s="666"/>
      <c r="BI54" s="666" t="str">
        <f>IF(OR(ISBLANK(L12),ISBLANK(L14),ISBLANK(L15),ISBLANK(L16),ISBLANK(L18),ISBLANK(L19),ISBLANK(L20),ISBLANK(L22),ISBLANK(L23)),"N/A",IF(BI52=BI53,"ok","&lt;&gt;"))</f>
        <v>N/A</v>
      </c>
      <c r="BJ54" s="666"/>
      <c r="BK54" s="666" t="str">
        <f>IF(OR(ISBLANK(N12),ISBLANK(N14),ISBLANK(N15),ISBLANK(N16),ISBLANK(N18),ISBLANK(N19),ISBLANK(N20),ISBLANK(N22),ISBLANK(N23)),"N/A",IF(BK52=BK53,"ok","&lt;&gt;"))</f>
        <v>N/A</v>
      </c>
      <c r="BL54" s="666"/>
      <c r="BM54" s="666" t="str">
        <f>IF(OR(ISBLANK(P12),ISBLANK(P14),ISBLANK(P15),ISBLANK(P16),ISBLANK(P18),ISBLANK(#REF!),ISBLANK(P20),ISBLANK(P22),ISBLANK(P23)),"N/A",IF(BM52=BM53,"ok","&lt;&gt;"))</f>
        <v>N/A</v>
      </c>
      <c r="BN54" s="666"/>
      <c r="BO54" s="666" t="str">
        <f>IF(OR(ISBLANK(R12),ISBLANK(R14),ISBLANK(R15),ISBLANK(R16),ISBLANK(R18),ISBLANK(R19),ISBLANK(R20),ISBLANK(R22),ISBLANK(R23)),"N/A",IF(BO52=BO53,"ok","&lt;&gt;"))</f>
        <v>N/A</v>
      </c>
      <c r="BP54" s="666"/>
      <c r="BQ54" s="666" t="str">
        <f>IF(OR(ISBLANK(T12),ISBLANK(T14),ISBLANK(T15),ISBLANK(T16),ISBLANK(T18),ISBLANK(T19),ISBLANK(T20),ISBLANK(T22),ISBLANK(T23)),"N/A",IF(BQ52=BQ53,"ok","&lt;&gt;"))</f>
        <v>N/A</v>
      </c>
      <c r="BR54" s="666"/>
      <c r="BS54" s="666" t="str">
        <f>IF(OR(ISBLANK(V12),ISBLANK(V14),ISBLANK(V15),ISBLANK(V16),ISBLANK(V18),ISBLANK(V19),ISBLANK(V20),ISBLANK(V22),ISBLANK(V23)),"N/A",IF(BS52=BS53,"ok","&lt;&gt;"))</f>
        <v>N/A</v>
      </c>
      <c r="BT54" s="666"/>
      <c r="BU54" s="666" t="str">
        <f>IF(OR(ISBLANK(X12),ISBLANK(X14),ISBLANK(X15),ISBLANK(X16),ISBLANK(X18),ISBLANK(X19),ISBLANK(X20),ISBLANK(X22),ISBLANK(X23)),"N/A",IF(BU52=BU53,"ok","&lt;&gt;"))</f>
        <v>N/A</v>
      </c>
      <c r="BV54" s="666"/>
      <c r="BW54" s="666" t="str">
        <f>IF(OR(ISBLANK(Z12),ISBLANK(Z14),ISBLANK(Z15),ISBLANK(Z16),ISBLANK(Z18),ISBLANK(Z19),ISBLANK(Z20),ISBLANK(Z22),ISBLANK(Z23)),"N/A",IF(BW52=BW53,"ok","&lt;&gt;"))</f>
        <v>N/A</v>
      </c>
      <c r="BX54" s="666"/>
      <c r="BY54" s="666" t="str">
        <f>IF(OR(ISBLANK(AB12),ISBLANK(AB14),ISBLANK(AB15),ISBLANK(AB16),ISBLANK(AB18),ISBLANK(AB19),ISBLANK(AB20),ISBLANK(AB22),ISBLANK(AB23)),"N/A",IF(BY52=BY53,"ok","&lt;&gt;"))</f>
        <v>N/A</v>
      </c>
      <c r="BZ54" s="666"/>
      <c r="CA54" s="666" t="str">
        <f>IF(OR(ISBLANK(AD12),ISBLANK(AD14),ISBLANK(AD15),ISBLANK(AD16),ISBLANK(AD18),ISBLANK(AD19),ISBLANK(AD20),ISBLANK(AD22),ISBLANK(AD23)),"N/A",IF(CA52=CA53,"ok","&lt;&gt;"))</f>
        <v>N/A</v>
      </c>
      <c r="CB54" s="666"/>
      <c r="CC54" s="666" t="str">
        <f>IF(OR(ISBLANK(AF12),ISBLANK(AF14),ISBLANK(AF15),ISBLANK(AF16),ISBLANK(AF18),ISBLANK(AF19),ISBLANK(AF20),ISBLANK(AF22),ISBLANK(AF23)),"N/A",IF(CC52=CC53,"ok","&lt;&gt;"))</f>
        <v>N/A</v>
      </c>
      <c r="CD54" s="666"/>
      <c r="CE54" s="666" t="str">
        <f>IF(OR(ISBLANK(AH12),ISBLANK(AH14),ISBLANK(AH15),ISBLANK(AH16),ISBLANK(AH18),ISBLANK(AH19),ISBLANK(AH20),ISBLANK(AH22),ISBLANK(AH23)),"N/A",IF(CE52=CE53,"ok","&lt;&gt;"))</f>
        <v>N/A</v>
      </c>
      <c r="CF54" s="666"/>
      <c r="CG54" s="666" t="str">
        <f>IF(OR(ISBLANK(AJ12),ISBLANK(AJ14),ISBLANK(AJ15),ISBLANK(AJ16),ISBLANK(AJ18),ISBLANK(AJ19),ISBLANK(AJ20),ISBLANK(AJ22),ISBLANK(AJ23)),"N/A",IF(CG52=CG53,"ok","&lt;&gt;"))</f>
        <v>N/A</v>
      </c>
      <c r="CH54" s="666"/>
      <c r="CI54" s="666" t="str">
        <f>IF(OR(ISBLANK(AL12),ISBLANK(AL14),ISBLANK(AL15),ISBLANK(AL16),ISBLANK(AL18),ISBLANK(AL19),ISBLANK(AL20),ISBLANK(AL22),ISBLANK(AL23)),"N/A",IF(CI52=CI53,"ok","&lt;&gt;"))</f>
        <v>N/A</v>
      </c>
      <c r="CJ54" s="666"/>
      <c r="CK54" s="666" t="str">
        <f>IF(OR(ISBLANK(AN12),ISBLANK(AN14),ISBLANK(AN15),ISBLANK(AN16),ISBLANK(AN18),ISBLANK(AN19),ISBLANK(AN20),ISBLANK(AN22),ISBLANK(AN23)),"N/A",IF(CK52=CK53,"ok","&lt;&gt;"))</f>
        <v>N/A</v>
      </c>
      <c r="CL54" s="666"/>
      <c r="CM54" s="666" t="str">
        <f>IF(OR(ISBLANK(AP12),ISBLANK(AP14),ISBLANK(AP15),ISBLANK(AP16),ISBLANK(AP18),ISBLANK(AP19),ISBLANK(AP20),ISBLANK(AP22),ISBLANK(AP23)),"N/A",IF(CM52=CM53,"ok","&lt;&gt;"))</f>
        <v>N/A</v>
      </c>
      <c r="CN54" s="666"/>
      <c r="CO54" s="666" t="str">
        <f>IF(OR(ISBLANK(AR12),ISBLANK(AR14),ISBLANK(AR15),ISBLANK(AR16),ISBLANK(AR18),ISBLANK(AR19),ISBLANK(AR20),ISBLANK(AR22),ISBLANK(AR23)),"N/A",IF(CO52=CO53,"ok","&lt;&gt;"))</f>
        <v>N/A</v>
      </c>
      <c r="CP54" s="666"/>
      <c r="CQ54" s="666" t="str">
        <f>IF(OR(ISBLANK(AT12),ISBLANK(AT14),ISBLANK(AT15),ISBLANK(AT16),ISBLANK(AT18),ISBLANK(AT19),ISBLANK(AT20),ISBLANK(AT22),ISBLANK(AT23)),"N/A",IF(CQ52=CQ53,"ok","&lt;&gt;"))</f>
        <v>N/A</v>
      </c>
      <c r="CR54" s="666"/>
      <c r="CS54" s="666" t="str">
        <f>IF(OR(ISBLANK(AV12),ISBLANK(AV14),ISBLANK(AV15),ISBLANK(AV16),ISBLANK(AV18),ISBLANK(AV19),ISBLANK(AV20),ISBLANK(AV22),ISBLANK(AV23)),"N/A",IF(CS52=CS53,"ok","&lt;&gt;"))</f>
        <v>N/A</v>
      </c>
      <c r="CT54" s="61"/>
      <c r="CU54" s="265"/>
    </row>
    <row r="55" spans="2:99" ht="8.25" customHeight="1">
      <c r="B55" s="541"/>
      <c r="C55" s="612"/>
      <c r="D55" s="614"/>
      <c r="E55" s="544"/>
      <c r="F55" s="544"/>
      <c r="G55" s="544"/>
      <c r="H55" s="544"/>
      <c r="I55" s="544"/>
      <c r="J55" s="544"/>
      <c r="K55" s="544"/>
      <c r="L55" s="913"/>
      <c r="M55" s="914"/>
      <c r="N55" s="915"/>
      <c r="O55" s="544"/>
      <c r="P55" s="544"/>
      <c r="Q55" s="913"/>
      <c r="R55" s="914"/>
      <c r="S55" s="915"/>
      <c r="T55" s="544"/>
      <c r="U55" s="544"/>
      <c r="V55" s="544"/>
      <c r="W55" s="544"/>
      <c r="X55" s="544"/>
      <c r="Y55" s="544"/>
      <c r="Z55" s="547"/>
      <c r="AK55" s="910"/>
      <c r="AL55" s="910"/>
      <c r="AM55" s="910"/>
      <c r="AN55" s="594"/>
      <c r="AO55" s="595"/>
      <c r="AP55" s="544"/>
      <c r="AQ55" s="547"/>
      <c r="AR55" s="547"/>
      <c r="AS55" s="547"/>
      <c r="AT55" s="547"/>
      <c r="AU55" s="547"/>
      <c r="AV55" s="547"/>
      <c r="AW55" s="547"/>
      <c r="AZ55" s="741">
        <v>22</v>
      </c>
      <c r="BA55" s="759" t="s">
        <v>706</v>
      </c>
      <c r="BB55" s="738" t="s">
        <v>245</v>
      </c>
      <c r="BC55" s="669">
        <f>F30</f>
        <v>0</v>
      </c>
      <c r="BD55" s="669"/>
      <c r="BE55" s="669">
        <f>H30</f>
        <v>0</v>
      </c>
      <c r="BF55" s="669"/>
      <c r="BG55" s="669">
        <f>J30</f>
        <v>0</v>
      </c>
      <c r="BH55" s="669"/>
      <c r="BI55" s="669">
        <f>L30</f>
        <v>0</v>
      </c>
      <c r="BJ55" s="669"/>
      <c r="BK55" s="669">
        <f>N30</f>
        <v>0</v>
      </c>
      <c r="BL55" s="669"/>
      <c r="BM55" s="669">
        <f>P30</f>
        <v>0</v>
      </c>
      <c r="BN55" s="669"/>
      <c r="BO55" s="669">
        <f>R30</f>
        <v>0</v>
      </c>
      <c r="BP55" s="669"/>
      <c r="BQ55" s="669">
        <f>T30</f>
        <v>0</v>
      </c>
      <c r="BR55" s="669"/>
      <c r="BS55" s="669">
        <f>V30</f>
        <v>0</v>
      </c>
      <c r="BT55" s="669"/>
      <c r="BU55" s="669">
        <f>X30</f>
        <v>0</v>
      </c>
      <c r="BV55" s="669"/>
      <c r="BW55" s="669">
        <f>Z30</f>
        <v>306.600006103516</v>
      </c>
      <c r="BX55" s="669"/>
      <c r="BY55" s="669">
        <f>AB30</f>
        <v>297.799987792969</v>
      </c>
      <c r="BZ55" s="669"/>
      <c r="CA55" s="669">
        <f>AD30</f>
        <v>272.600006103516</v>
      </c>
      <c r="CB55" s="669"/>
      <c r="CC55" s="669">
        <f>AF30</f>
        <v>289.600006103516</v>
      </c>
      <c r="CD55" s="669"/>
      <c r="CE55" s="669">
        <f>AH30</f>
        <v>277.700012207031</v>
      </c>
      <c r="CF55" s="669"/>
      <c r="CG55" s="669">
        <f>AJ30</f>
        <v>285.100006103516</v>
      </c>
      <c r="CH55" s="669"/>
      <c r="CI55" s="669">
        <f>AL30</f>
        <v>293.40000000000003</v>
      </c>
      <c r="CJ55" s="669"/>
      <c r="CK55" s="669">
        <f>AN30</f>
        <v>307.5</v>
      </c>
      <c r="CL55" s="669"/>
      <c r="CM55" s="669">
        <f>AP30</f>
        <v>323.1</v>
      </c>
      <c r="CN55" s="669"/>
      <c r="CO55" s="669">
        <f>AR30</f>
        <v>332.6</v>
      </c>
      <c r="CP55" s="669"/>
      <c r="CQ55" s="669">
        <f>AT30</f>
        <v>365.29999999999995</v>
      </c>
      <c r="CR55" s="669"/>
      <c r="CS55" s="669">
        <f>AV30</f>
        <v>349.50000000000006</v>
      </c>
      <c r="CT55" s="58"/>
      <c r="CU55" s="261"/>
    </row>
    <row r="56" spans="2:99" ht="25.5" customHeight="1">
      <c r="B56" s="541"/>
      <c r="C56" s="612"/>
      <c r="D56" s="549" t="str">
        <f>D16&amp;" (W2,8)"</f>
        <v>الزراعة والحراجة وصيد الأسماك )ISIC 01-03( (W2,8)</v>
      </c>
      <c r="E56" s="544"/>
      <c r="F56" s="884" t="str">
        <f>D25&amp;" (W2,17)"</f>
        <v>المياه المعاد استعمالها (W2,17)</v>
      </c>
      <c r="G56" s="829"/>
      <c r="H56" s="830"/>
      <c r="I56" s="544"/>
      <c r="J56" s="544"/>
      <c r="K56" s="544"/>
      <c r="L56" s="913"/>
      <c r="M56" s="914"/>
      <c r="N56" s="915"/>
      <c r="O56" s="544"/>
      <c r="P56" s="544"/>
      <c r="Q56" s="913"/>
      <c r="R56" s="914"/>
      <c r="S56" s="915"/>
      <c r="T56" s="544"/>
      <c r="U56" s="544"/>
      <c r="V56" s="544"/>
      <c r="W56" s="544"/>
      <c r="X56" s="544"/>
      <c r="Y56" s="544"/>
      <c r="Z56" s="303"/>
      <c r="AA56" s="826" t="str">
        <f>D33&amp;" (W2,24)"</f>
        <v>الزراعة والحراجة وصيد الأسماك )ISIC 01-03( (W2,24)</v>
      </c>
      <c r="AB56" s="829"/>
      <c r="AC56" s="829"/>
      <c r="AD56" s="829"/>
      <c r="AE56" s="829"/>
      <c r="AF56" s="829"/>
      <c r="AG56" s="829"/>
      <c r="AH56" s="901"/>
      <c r="AI56" s="901"/>
      <c r="AJ56" s="902"/>
      <c r="AK56" s="910"/>
      <c r="AL56" s="910"/>
      <c r="AM56" s="910"/>
      <c r="AN56" s="551"/>
      <c r="AO56" s="552"/>
      <c r="AP56" s="544"/>
      <c r="AQ56" s="303"/>
      <c r="AR56" s="303"/>
      <c r="AS56" s="303"/>
      <c r="AT56" s="303"/>
      <c r="AU56" s="303"/>
      <c r="AV56" s="303"/>
      <c r="AW56" s="303"/>
      <c r="AZ56" s="760">
        <v>35</v>
      </c>
      <c r="BA56" s="761" t="s">
        <v>712</v>
      </c>
      <c r="BB56" s="738" t="s">
        <v>245</v>
      </c>
      <c r="BC56" s="666">
        <f>F28-F29</f>
        <v>0</v>
      </c>
      <c r="BD56" s="666"/>
      <c r="BE56" s="666">
        <f>H28-H29</f>
        <v>244</v>
      </c>
      <c r="BF56" s="666"/>
      <c r="BG56" s="666">
        <f>J28-J29</f>
        <v>279.399993896484</v>
      </c>
      <c r="BH56" s="666"/>
      <c r="BI56" s="666">
        <f>L28-L29</f>
        <v>43.0999984741211</v>
      </c>
      <c r="BJ56" s="666"/>
      <c r="BK56" s="666">
        <f>N28-N29</f>
        <v>291.600006103516</v>
      </c>
      <c r="BL56" s="666"/>
      <c r="BM56" s="666">
        <f>P28-P29</f>
        <v>310.200012207031</v>
      </c>
      <c r="BN56" s="666"/>
      <c r="BO56" s="666">
        <f>R28-R29</f>
        <v>319.100006103516</v>
      </c>
      <c r="BP56" s="666"/>
      <c r="BQ56" s="666">
        <f>T28-T29</f>
        <v>335.600006103516</v>
      </c>
      <c r="BR56" s="666"/>
      <c r="BS56" s="666">
        <f>V28-V29</f>
        <v>303.600006103516</v>
      </c>
      <c r="BT56" s="666"/>
      <c r="BU56" s="666">
        <f>X28-X29</f>
        <v>315.200012207031</v>
      </c>
      <c r="BV56" s="666"/>
      <c r="BW56" s="666">
        <f>Z28-Z29</f>
        <v>306.4000053405765</v>
      </c>
      <c r="BX56" s="666"/>
      <c r="BY56" s="666">
        <f>AB28-AB29</f>
        <v>297.79999351501425</v>
      </c>
      <c r="BZ56" s="666"/>
      <c r="CA56" s="666">
        <f>AD28-AD29</f>
        <v>272.200012207031</v>
      </c>
      <c r="CB56" s="666"/>
      <c r="CC56" s="666">
        <f>AF28-AF29</f>
        <v>289.60001373290993</v>
      </c>
      <c r="CD56" s="666"/>
      <c r="CE56" s="666">
        <f>AH28-AH29</f>
        <v>277.700012207031</v>
      </c>
      <c r="CF56" s="666"/>
      <c r="CG56" s="666">
        <f>AJ28-AJ29</f>
        <v>285.0999908447268</v>
      </c>
      <c r="CH56" s="666"/>
      <c r="CI56" s="666">
        <f>AL28-AL29</f>
        <v>293.40000000000003</v>
      </c>
      <c r="CJ56" s="666"/>
      <c r="CK56" s="666">
        <f>AN28-AN29</f>
        <v>307.5</v>
      </c>
      <c r="CL56" s="666"/>
      <c r="CM56" s="666">
        <f>AP28-AP29</f>
        <v>323.1</v>
      </c>
      <c r="CN56" s="666"/>
      <c r="CO56" s="666">
        <f>AR28-AR29</f>
        <v>332.6</v>
      </c>
      <c r="CP56" s="666"/>
      <c r="CQ56" s="666">
        <f>AT28-AT29</f>
        <v>365.29999999999995</v>
      </c>
      <c r="CR56" s="666"/>
      <c r="CS56" s="666">
        <f>AV28-AV29</f>
        <v>349.50000000000006</v>
      </c>
      <c r="CT56" s="59"/>
      <c r="CU56" s="286"/>
    </row>
    <row r="57" spans="2:99" ht="8.25" customHeight="1">
      <c r="B57" s="541"/>
      <c r="C57" s="612"/>
      <c r="D57" s="615"/>
      <c r="E57" s="544"/>
      <c r="F57" s="544"/>
      <c r="G57" s="544"/>
      <c r="H57" s="544"/>
      <c r="I57" s="544"/>
      <c r="J57" s="544"/>
      <c r="K57" s="544"/>
      <c r="L57" s="913"/>
      <c r="M57" s="914"/>
      <c r="N57" s="915"/>
      <c r="O57" s="544"/>
      <c r="P57" s="544"/>
      <c r="Q57" s="913"/>
      <c r="R57" s="914"/>
      <c r="S57" s="915"/>
      <c r="T57" s="544"/>
      <c r="U57" s="544"/>
      <c r="V57" s="544"/>
      <c r="W57" s="544"/>
      <c r="X57" s="544"/>
      <c r="Y57" s="544"/>
      <c r="Z57" s="547"/>
      <c r="AA57" s="544"/>
      <c r="AB57" s="544"/>
      <c r="AC57" s="544"/>
      <c r="AD57" s="544"/>
      <c r="AE57" s="544"/>
      <c r="AF57" s="544"/>
      <c r="AG57" s="544"/>
      <c r="AH57" s="544"/>
      <c r="AI57" s="544"/>
      <c r="AJ57" s="544"/>
      <c r="AK57" s="910"/>
      <c r="AL57" s="910"/>
      <c r="AM57" s="910"/>
      <c r="AN57" s="544"/>
      <c r="AO57" s="544"/>
      <c r="AP57" s="544"/>
      <c r="AQ57" s="547"/>
      <c r="AR57" s="547"/>
      <c r="AS57" s="547"/>
      <c r="AT57" s="547"/>
      <c r="AU57" s="547"/>
      <c r="AV57" s="547"/>
      <c r="AW57" s="547"/>
      <c r="AY57" s="326"/>
      <c r="AZ57" s="765" t="s">
        <v>295</v>
      </c>
      <c r="BA57" s="766" t="s">
        <v>713</v>
      </c>
      <c r="BB57" s="767"/>
      <c r="BC57" s="679" t="str">
        <f>IF(OR(ISBLANK(F28),ISBLANK(F29),ISBLANK(F30)),"N/A",IF(BC55=BC56,"ok","&lt;&gt;"))</f>
        <v>N/A</v>
      </c>
      <c r="BD57" s="679"/>
      <c r="BE57" s="679" t="str">
        <f>IF(OR(ISBLANK(H28),ISBLANK(H29),ISBLANK(H30)),"N/A",IF(BE55=BE56,"ok","&lt;&gt;"))</f>
        <v>N/A</v>
      </c>
      <c r="BF57" s="679"/>
      <c r="BG57" s="679" t="str">
        <f>IF(OR(ISBLANK(J28),ISBLANK(J29),ISBLANK(J30)),"N/A",IF(BG55=BG56,"ok","&lt;&gt;"))</f>
        <v>N/A</v>
      </c>
      <c r="BH57" s="679"/>
      <c r="BI57" s="679" t="str">
        <f>IF(OR(ISBLANK(L28),ISBLANK(L29),ISBLANK(L30)),"N/A",IF(BI55=BI56,"ok","&lt;&gt;"))</f>
        <v>N/A</v>
      </c>
      <c r="BJ57" s="679"/>
      <c r="BK57" s="679" t="str">
        <f>IF(OR(ISBLANK(N28),ISBLANK(N29),ISBLANK(N30)),"N/A",IF(BK55=BK56,"ok","&lt;&gt;"))</f>
        <v>N/A</v>
      </c>
      <c r="BL57" s="679"/>
      <c r="BM57" s="679" t="str">
        <f>IF(OR(ISBLANK(P28),ISBLANK(P29),ISBLANK(P30)),"N/A",IF(BM55=BM56,"ok","&lt;&gt;"))</f>
        <v>N/A</v>
      </c>
      <c r="BN57" s="679"/>
      <c r="BO57" s="679" t="str">
        <f>IF(OR(ISBLANK(R28),ISBLANK(R29),ISBLANK(R30)),"N/A",IF(BO55=BO56,"ok","&lt;&gt;"))</f>
        <v>N/A</v>
      </c>
      <c r="BP57" s="679"/>
      <c r="BQ57" s="679" t="str">
        <f>IF(OR(ISBLANK(T28),ISBLANK(T29),ISBLANK(T30)),"N/A",IF(BQ55=BQ56,"ok","&lt;&gt;"))</f>
        <v>N/A</v>
      </c>
      <c r="BR57" s="679"/>
      <c r="BS57" s="679" t="str">
        <f>IF(OR(ISBLANK(V28),ISBLANK(V29),ISBLANK(V30)),"N/A",IF(BS55=BS56,"ok","&lt;&gt;"))</f>
        <v>N/A</v>
      </c>
      <c r="BT57" s="679"/>
      <c r="BU57" s="679" t="str">
        <f>IF(OR(ISBLANK(X28),ISBLANK(X29),ISBLANK(X30)),"N/A",IF(BU55=BU56,"ok","&lt;&gt;"))</f>
        <v>N/A</v>
      </c>
      <c r="BV57" s="679"/>
      <c r="BW57" s="679" t="str">
        <f>IF(OR(ISBLANK(Z28),ISBLANK(Z29),ISBLANK(Z30)),"N/A",IF(BW55=BW56,"ok","&lt;&gt;"))</f>
        <v>&lt;&gt;</v>
      </c>
      <c r="BX57" s="679"/>
      <c r="BY57" s="679" t="str">
        <f>IF(OR(ISBLANK(AB28),ISBLANK(AB29),ISBLANK(AB30)),"N/A",IF(BY55=BY56,"ok","&lt;&gt;"))</f>
        <v>&lt;&gt;</v>
      </c>
      <c r="BZ57" s="679"/>
      <c r="CA57" s="679" t="str">
        <f>IF(OR(ISBLANK(AD28),ISBLANK(AD29),ISBLANK(AD30)),"N/A",IF(CA55=CA56,"ok","&lt;&gt;"))</f>
        <v>&lt;&gt;</v>
      </c>
      <c r="CB57" s="679"/>
      <c r="CC57" s="679" t="str">
        <f>IF(OR(ISBLANK(AF28),ISBLANK(AF29),ISBLANK(AF30)),"N/A",IF(CC55=CC56,"ok","&lt;&gt;"))</f>
        <v>&lt;&gt;</v>
      </c>
      <c r="CD57" s="679"/>
      <c r="CE57" s="679" t="str">
        <f>IF(OR(ISBLANK(AH28),ISBLANK(AH29),ISBLANK(AH30)),"N/A",IF(CE55=CE56,"ok","&lt;&gt;"))</f>
        <v>ok</v>
      </c>
      <c r="CF57" s="679"/>
      <c r="CG57" s="679" t="str">
        <f>IF(OR(ISBLANK(AJ28),ISBLANK(AJ29),ISBLANK(AJ30)),"N/A",IF(CG55=CG56,"ok","&lt;&gt;"))</f>
        <v>&lt;&gt;</v>
      </c>
      <c r="CH57" s="679"/>
      <c r="CI57" s="679" t="str">
        <f>IF(OR(ISBLANK(AL28),ISBLANK(AL29),ISBLANK(AL30)),"N/A",IF(CI55=CI56,"ok","&lt;&gt;"))</f>
        <v>ok</v>
      </c>
      <c r="CJ57" s="679"/>
      <c r="CK57" s="679" t="str">
        <f>IF(OR(ISBLANK(AN28),ISBLANK(AN29),ISBLANK(AN30)),"N/A",IF(CK55=CK56,"ok","&lt;&gt;"))</f>
        <v>ok</v>
      </c>
      <c r="CL57" s="679"/>
      <c r="CM57" s="679" t="str">
        <f>IF(OR(ISBLANK(AP28),ISBLANK(AP29),ISBLANK(AP30)),"N/A",IF(CM55=CM56,"ok","&lt;&gt;"))</f>
        <v>ok</v>
      </c>
      <c r="CN57" s="679"/>
      <c r="CO57" s="679" t="str">
        <f>IF(OR(ISBLANK(AR28),ISBLANK(AR29),ISBLANK(AR30)),"N/A",IF(CO55=CO56,"ok","&lt;&gt;"))</f>
        <v>ok</v>
      </c>
      <c r="CP57" s="679"/>
      <c r="CQ57" s="679" t="str">
        <f>IF(OR(ISBLANK(AT28),ISBLANK(AT29),ISBLANK(AT30)),"N/A",IF(CQ55=CQ56,"ok","&lt;&gt;"))</f>
        <v>ok</v>
      </c>
      <c r="CR57" s="679"/>
      <c r="CS57" s="679" t="str">
        <f>IF(OR(ISBLANK(AV28),ISBLANK(AV29),ISBLANK(AV30)),"N/A",IF(CS55=CS56,"ok","&lt;&gt;"))</f>
        <v>ok</v>
      </c>
      <c r="CT57" s="91"/>
      <c r="CU57" s="427"/>
    </row>
    <row r="58" spans="2:99" ht="20.25" customHeight="1">
      <c r="B58" s="541"/>
      <c r="C58" s="612"/>
      <c r="D58" s="549" t="str">
        <f>D18&amp;" (W2,10)"</f>
        <v>التعدين واستغلال المحاجر )ISIC 05-09( (W2,10)</v>
      </c>
      <c r="E58" s="544"/>
      <c r="F58" s="544"/>
      <c r="G58" s="544"/>
      <c r="H58" s="544"/>
      <c r="I58" s="544"/>
      <c r="J58" s="544"/>
      <c r="K58" s="544"/>
      <c r="L58" s="913"/>
      <c r="M58" s="914"/>
      <c r="N58" s="915"/>
      <c r="O58" s="544"/>
      <c r="P58" s="544"/>
      <c r="Q58" s="913"/>
      <c r="R58" s="914"/>
      <c r="S58" s="915"/>
      <c r="T58" s="544"/>
      <c r="U58" s="544"/>
      <c r="V58" s="544"/>
      <c r="W58" s="544"/>
      <c r="X58" s="544"/>
      <c r="Y58" s="544"/>
      <c r="Z58" s="547"/>
      <c r="AA58" s="826" t="str">
        <f>D35&amp;" (W2,26)"</f>
        <v>التعدين واستغلال المحاجر )ISIC 05-09( (W2,26)</v>
      </c>
      <c r="AB58" s="829"/>
      <c r="AC58" s="829"/>
      <c r="AD58" s="829"/>
      <c r="AE58" s="829"/>
      <c r="AF58" s="829"/>
      <c r="AG58" s="829"/>
      <c r="AH58" s="901"/>
      <c r="AI58" s="901"/>
      <c r="AJ58" s="902"/>
      <c r="AK58" s="601"/>
      <c r="AL58" s="601"/>
      <c r="AM58" s="601"/>
      <c r="AN58" s="544"/>
      <c r="AO58" s="544"/>
      <c r="AP58" s="544"/>
      <c r="AQ58" s="303"/>
      <c r="AR58" s="303"/>
      <c r="AS58" s="303"/>
      <c r="AT58" s="303"/>
      <c r="AU58" s="303"/>
      <c r="AV58" s="303"/>
      <c r="AW58" s="303"/>
      <c r="AY58" s="326"/>
      <c r="AZ58" s="690" t="s">
        <v>229</v>
      </c>
      <c r="BA58" s="691" t="s">
        <v>230</v>
      </c>
      <c r="BB58" s="700"/>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1"/>
      <c r="CG58" s="701"/>
      <c r="CH58" s="701"/>
      <c r="CI58" s="701"/>
      <c r="CJ58" s="701"/>
      <c r="CK58" s="701"/>
      <c r="CL58" s="701"/>
      <c r="CM58" s="701"/>
      <c r="CN58" s="701"/>
      <c r="CO58" s="701"/>
      <c r="CP58" s="701"/>
      <c r="CQ58" s="701"/>
      <c r="CR58" s="701"/>
      <c r="CS58" s="701"/>
      <c r="CT58" s="91"/>
      <c r="CU58" s="427"/>
    </row>
    <row r="59" spans="2:100" ht="8.25" customHeight="1">
      <c r="B59" s="541"/>
      <c r="C59" s="612"/>
      <c r="D59" s="615"/>
      <c r="E59" s="544"/>
      <c r="F59" s="890" t="str">
        <f>D26&amp;" - "&amp;D27&amp;"  =(W2,16) - (W2,17)"</f>
        <v>واردات المياه - صادرات المياه  =(W2,16) - (W2,17)</v>
      </c>
      <c r="G59" s="891"/>
      <c r="H59" s="892"/>
      <c r="I59" s="544"/>
      <c r="J59" s="544"/>
      <c r="K59" s="544"/>
      <c r="L59" s="913"/>
      <c r="M59" s="914"/>
      <c r="N59" s="915"/>
      <c r="O59" s="544"/>
      <c r="P59" s="544"/>
      <c r="Q59" s="913"/>
      <c r="R59" s="914"/>
      <c r="S59" s="915"/>
      <c r="T59" s="544"/>
      <c r="U59" s="544"/>
      <c r="V59" s="544"/>
      <c r="W59" s="544"/>
      <c r="X59" s="544"/>
      <c r="Y59" s="544"/>
      <c r="Z59" s="547"/>
      <c r="AK59" s="601"/>
      <c r="AL59" s="601"/>
      <c r="AM59" s="601"/>
      <c r="AN59" s="544"/>
      <c r="AO59" s="544"/>
      <c r="AP59" s="544"/>
      <c r="AQ59" s="547"/>
      <c r="AR59" s="547"/>
      <c r="AS59" s="547"/>
      <c r="AT59" s="547"/>
      <c r="AU59" s="547"/>
      <c r="AV59" s="547"/>
      <c r="AW59" s="547"/>
      <c r="AZ59" s="690" t="s">
        <v>231</v>
      </c>
      <c r="BA59" s="691" t="s">
        <v>232</v>
      </c>
      <c r="BB59" s="700"/>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1"/>
      <c r="CG59" s="701"/>
      <c r="CH59" s="701"/>
      <c r="CI59" s="701"/>
      <c r="CJ59" s="701"/>
      <c r="CK59" s="701"/>
      <c r="CL59" s="701"/>
      <c r="CM59" s="701"/>
      <c r="CN59" s="701"/>
      <c r="CO59" s="701"/>
      <c r="CP59" s="701"/>
      <c r="CQ59" s="701"/>
      <c r="CR59" s="701"/>
      <c r="CS59" s="701"/>
      <c r="CT59" s="91"/>
      <c r="CU59" s="427"/>
      <c r="CV59" s="320"/>
    </row>
    <row r="60" spans="2:100" ht="20.25" customHeight="1">
      <c r="B60" s="541"/>
      <c r="C60" s="612"/>
      <c r="D60" s="549" t="str">
        <f>D19&amp;" (W2,11)"</f>
        <v>الصناعة التحويلية )ISIC 10-33( (W2,11)</v>
      </c>
      <c r="E60" s="544"/>
      <c r="F60" s="893"/>
      <c r="G60" s="894"/>
      <c r="H60" s="895"/>
      <c r="I60" s="544"/>
      <c r="J60" s="544"/>
      <c r="K60" s="544"/>
      <c r="L60" s="913"/>
      <c r="M60" s="914"/>
      <c r="N60" s="915"/>
      <c r="O60" s="544"/>
      <c r="P60" s="544"/>
      <c r="Q60" s="913"/>
      <c r="R60" s="914"/>
      <c r="S60" s="915"/>
      <c r="T60" s="544"/>
      <c r="U60" s="544"/>
      <c r="V60" s="544"/>
      <c r="W60" s="544"/>
      <c r="X60" s="544"/>
      <c r="Y60" s="544"/>
      <c r="Z60" s="547"/>
      <c r="AA60" s="884" t="str">
        <f>D36&amp;" (W2,27)"</f>
        <v> الصناعة التحويلية )ISIC 10-33( (W2,27)</v>
      </c>
      <c r="AB60" s="899"/>
      <c r="AC60" s="899"/>
      <c r="AD60" s="899"/>
      <c r="AE60" s="899"/>
      <c r="AF60" s="899"/>
      <c r="AG60" s="899"/>
      <c r="AH60" s="899"/>
      <c r="AI60" s="899"/>
      <c r="AJ60" s="900"/>
      <c r="AK60" s="601"/>
      <c r="AL60" s="601"/>
      <c r="AM60" s="601"/>
      <c r="AN60" s="544"/>
      <c r="AO60" s="544"/>
      <c r="AP60" s="544"/>
      <c r="AQ60" s="303"/>
      <c r="AR60" s="303"/>
      <c r="AS60" s="303"/>
      <c r="AT60" s="303"/>
      <c r="AU60" s="303"/>
      <c r="AV60" s="303"/>
      <c r="AW60" s="303"/>
      <c r="AZ60" s="692" t="s">
        <v>234</v>
      </c>
      <c r="BA60" s="691" t="s">
        <v>236</v>
      </c>
      <c r="BB60" s="700"/>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91"/>
      <c r="CU60" s="427"/>
      <c r="CV60" s="320"/>
    </row>
    <row r="61" spans="2:100" ht="8.25" customHeight="1">
      <c r="B61" s="541"/>
      <c r="C61" s="612"/>
      <c r="D61" s="615"/>
      <c r="E61" s="544"/>
      <c r="F61" s="896"/>
      <c r="G61" s="897"/>
      <c r="H61" s="898"/>
      <c r="I61" s="544"/>
      <c r="J61" s="544"/>
      <c r="K61" s="544"/>
      <c r="L61" s="913"/>
      <c r="M61" s="914"/>
      <c r="N61" s="915"/>
      <c r="O61" s="544"/>
      <c r="P61" s="544"/>
      <c r="Q61" s="913"/>
      <c r="R61" s="914"/>
      <c r="S61" s="915"/>
      <c r="T61" s="544"/>
      <c r="U61" s="544"/>
      <c r="V61" s="544"/>
      <c r="W61" s="544"/>
      <c r="X61" s="544"/>
      <c r="Y61" s="544"/>
      <c r="Z61" s="547"/>
      <c r="AA61" s="547"/>
      <c r="AB61" s="547"/>
      <c r="AC61" s="547"/>
      <c r="AD61" s="547"/>
      <c r="AE61" s="547"/>
      <c r="AF61" s="547"/>
      <c r="AG61" s="547"/>
      <c r="AH61" s="547"/>
      <c r="AI61" s="547"/>
      <c r="AJ61" s="547"/>
      <c r="AK61" s="601"/>
      <c r="AL61" s="601"/>
      <c r="AM61" s="601"/>
      <c r="AN61" s="544"/>
      <c r="AO61" s="544"/>
      <c r="AP61" s="544"/>
      <c r="AQ61" s="303"/>
      <c r="AR61" s="303"/>
      <c r="AS61" s="303"/>
      <c r="AT61" s="303"/>
      <c r="AU61" s="303"/>
      <c r="AV61" s="303"/>
      <c r="AW61" s="303"/>
      <c r="AZ61" s="692" t="s">
        <v>233</v>
      </c>
      <c r="BA61" s="691" t="s">
        <v>206</v>
      </c>
      <c r="BB61" s="700"/>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91"/>
      <c r="CU61" s="427"/>
      <c r="CV61" s="320"/>
    </row>
    <row r="62" spans="2:100" ht="25.5" customHeight="1">
      <c r="B62" s="541"/>
      <c r="C62" s="612"/>
      <c r="D62" s="549" t="str">
        <f>D20&amp;" (W2,12)"</f>
        <v>إمدادات الكهرباء والغاز والبخار وتكييف الهواء )ISIC 35( (W2,12)</v>
      </c>
      <c r="E62" s="544"/>
      <c r="F62" s="544"/>
      <c r="G62" s="544"/>
      <c r="H62" s="544"/>
      <c r="I62" s="544"/>
      <c r="J62" s="544"/>
      <c r="K62" s="544"/>
      <c r="L62" s="916"/>
      <c r="M62" s="917"/>
      <c r="N62" s="918"/>
      <c r="O62" s="544"/>
      <c r="P62" s="544"/>
      <c r="Q62" s="916"/>
      <c r="R62" s="917"/>
      <c r="S62" s="918"/>
      <c r="T62" s="544"/>
      <c r="U62" s="544"/>
      <c r="V62" s="544"/>
      <c r="W62" s="544"/>
      <c r="X62" s="548"/>
      <c r="Y62" s="303"/>
      <c r="Z62" s="303"/>
      <c r="AA62" s="884" t="str">
        <f>D37&amp;" (W2,28)"</f>
        <v>إمدادات الكهرباء والغاز والبخار وتكييف الهواء )ISIC 35( (W2,28)</v>
      </c>
      <c r="AB62" s="899"/>
      <c r="AC62" s="899"/>
      <c r="AD62" s="899"/>
      <c r="AE62" s="899"/>
      <c r="AF62" s="899"/>
      <c r="AG62" s="899"/>
      <c r="AH62" s="899"/>
      <c r="AI62" s="899"/>
      <c r="AJ62" s="900"/>
      <c r="AK62" s="547"/>
      <c r="AL62" s="547"/>
      <c r="AM62" s="547"/>
      <c r="AN62" s="544"/>
      <c r="AO62" s="544"/>
      <c r="AP62" s="544"/>
      <c r="AQ62" s="303"/>
      <c r="AR62" s="303"/>
      <c r="AS62" s="303"/>
      <c r="AT62" s="303"/>
      <c r="AU62" s="303"/>
      <c r="AV62" s="303"/>
      <c r="AW62" s="303"/>
      <c r="AZ62" s="690" t="s">
        <v>229</v>
      </c>
      <c r="BA62" s="691" t="s">
        <v>230</v>
      </c>
      <c r="BB62" s="700"/>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91"/>
      <c r="CU62" s="427"/>
      <c r="CV62" s="320"/>
    </row>
    <row r="63" spans="2:100" ht="8.25" customHeight="1">
      <c r="B63" s="541"/>
      <c r="C63" s="612"/>
      <c r="D63" s="615"/>
      <c r="E63" s="544"/>
      <c r="F63" s="903"/>
      <c r="G63" s="904"/>
      <c r="H63" s="904"/>
      <c r="I63" s="544"/>
      <c r="J63" s="544"/>
      <c r="K63" s="544"/>
      <c r="L63" s="544"/>
      <c r="M63" s="544"/>
      <c r="N63" s="544"/>
      <c r="O63" s="544"/>
      <c r="P63" s="544"/>
      <c r="Q63" s="544"/>
      <c r="R63" s="544"/>
      <c r="S63" s="544"/>
      <c r="T63" s="544"/>
      <c r="U63" s="544"/>
      <c r="V63" s="544"/>
      <c r="W63" s="544"/>
      <c r="X63" s="548"/>
      <c r="Y63" s="303"/>
      <c r="Z63" s="602"/>
      <c r="AB63" s="909"/>
      <c r="AC63" s="909"/>
      <c r="AD63" s="909"/>
      <c r="AE63" s="909"/>
      <c r="AF63" s="909"/>
      <c r="AG63" s="909"/>
      <c r="AH63" s="909"/>
      <c r="AI63" s="909"/>
      <c r="AJ63" s="909"/>
      <c r="AK63" s="547"/>
      <c r="AL63" s="547"/>
      <c r="AM63" s="547"/>
      <c r="AN63" s="544"/>
      <c r="AO63" s="544"/>
      <c r="AP63" s="544"/>
      <c r="AQ63" s="303"/>
      <c r="AR63" s="303"/>
      <c r="AS63" s="303"/>
      <c r="AT63" s="303"/>
      <c r="AU63" s="303"/>
      <c r="AV63" s="303"/>
      <c r="AW63" s="303"/>
      <c r="AZ63" s="690" t="s">
        <v>231</v>
      </c>
      <c r="BA63" s="691" t="s">
        <v>232</v>
      </c>
      <c r="BB63" s="700"/>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1"/>
      <c r="CG63" s="701"/>
      <c r="CH63" s="701"/>
      <c r="CI63" s="701"/>
      <c r="CJ63" s="701"/>
      <c r="CK63" s="701"/>
      <c r="CL63" s="701"/>
      <c r="CM63" s="701"/>
      <c r="CN63" s="701"/>
      <c r="CO63" s="701"/>
      <c r="CP63" s="701"/>
      <c r="CQ63" s="701"/>
      <c r="CR63" s="701"/>
      <c r="CS63" s="701"/>
      <c r="CT63" s="91"/>
      <c r="CU63" s="427"/>
      <c r="CV63" s="320"/>
    </row>
    <row r="64" spans="2:100" ht="20.25" customHeight="1">
      <c r="B64" s="541"/>
      <c r="C64" s="612"/>
      <c r="D64" s="549" t="str">
        <f>D22&amp;" (W2,14)"</f>
        <v>التشييد )ISIC 41-43( (W2,14)</v>
      </c>
      <c r="E64" s="544"/>
      <c r="F64" s="904"/>
      <c r="G64" s="904"/>
      <c r="H64" s="904"/>
      <c r="I64" s="544"/>
      <c r="J64" s="544"/>
      <c r="K64" s="544"/>
      <c r="L64" s="544"/>
      <c r="M64" s="544"/>
      <c r="N64" s="890" t="str">
        <f>D29&amp;" (W2,21)"</f>
        <v>الفاقد أثناء النقل (W2,21)</v>
      </c>
      <c r="O64" s="891"/>
      <c r="P64" s="892"/>
      <c r="Q64" s="544"/>
      <c r="R64" s="544"/>
      <c r="S64" s="544"/>
      <c r="T64" s="544"/>
      <c r="U64" s="544"/>
      <c r="V64" s="544"/>
      <c r="W64" s="544"/>
      <c r="X64" s="548"/>
      <c r="Y64" s="303"/>
      <c r="Z64" s="602"/>
      <c r="AA64" s="884" t="str">
        <f>D39&amp;" (W2,30)"</f>
        <v>التشييد )ISIC 41-43( (W2,30)</v>
      </c>
      <c r="AB64" s="899"/>
      <c r="AC64" s="899"/>
      <c r="AD64" s="899"/>
      <c r="AE64" s="899"/>
      <c r="AF64" s="899"/>
      <c r="AG64" s="899"/>
      <c r="AH64" s="899"/>
      <c r="AI64" s="899"/>
      <c r="AJ64" s="900"/>
      <c r="AK64" s="303"/>
      <c r="AL64" s="303"/>
      <c r="AM64" s="547"/>
      <c r="AN64" s="544"/>
      <c r="AO64" s="544"/>
      <c r="AP64" s="544"/>
      <c r="AQ64" s="303"/>
      <c r="AR64" s="303"/>
      <c r="AS64" s="303"/>
      <c r="AT64" s="303"/>
      <c r="AU64" s="303"/>
      <c r="AV64" s="303"/>
      <c r="AW64" s="303"/>
      <c r="AZ64" s="692" t="s">
        <v>234</v>
      </c>
      <c r="BA64" s="691" t="s">
        <v>236</v>
      </c>
      <c r="BB64" s="700"/>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1"/>
      <c r="CG64" s="701"/>
      <c r="CH64" s="701"/>
      <c r="CI64" s="701"/>
      <c r="CJ64" s="701"/>
      <c r="CK64" s="701"/>
      <c r="CL64" s="701"/>
      <c r="CM64" s="701"/>
      <c r="CN64" s="701"/>
      <c r="CO64" s="701"/>
      <c r="CP64" s="701"/>
      <c r="CQ64" s="701"/>
      <c r="CR64" s="701"/>
      <c r="CS64" s="701"/>
      <c r="CT64" s="91"/>
      <c r="CU64" s="427"/>
      <c r="CV64" s="320"/>
    </row>
    <row r="65" spans="2:100" ht="8.25" customHeight="1">
      <c r="B65" s="542"/>
      <c r="C65" s="612"/>
      <c r="D65" s="615"/>
      <c r="E65" s="544"/>
      <c r="F65" s="904"/>
      <c r="G65" s="904"/>
      <c r="H65" s="904"/>
      <c r="I65" s="544"/>
      <c r="J65" s="544"/>
      <c r="K65" s="544"/>
      <c r="L65" s="544"/>
      <c r="M65" s="544"/>
      <c r="N65" s="916"/>
      <c r="O65" s="917"/>
      <c r="P65" s="918"/>
      <c r="Q65" s="544"/>
      <c r="R65" s="544"/>
      <c r="S65" s="544"/>
      <c r="T65" s="544"/>
      <c r="U65" s="544"/>
      <c r="V65" s="544"/>
      <c r="W65" s="544"/>
      <c r="X65" s="548"/>
      <c r="Y65" s="601"/>
      <c r="Z65" s="602"/>
      <c r="AA65" s="602"/>
      <c r="AB65" s="602"/>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2" t="s">
        <v>233</v>
      </c>
      <c r="BA65" s="691" t="s">
        <v>206</v>
      </c>
      <c r="BB65" s="700"/>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1"/>
      <c r="CG65" s="701"/>
      <c r="CH65" s="701"/>
      <c r="CI65" s="701"/>
      <c r="CJ65" s="701"/>
      <c r="CK65" s="701"/>
      <c r="CL65" s="701"/>
      <c r="CM65" s="701"/>
      <c r="CN65" s="701"/>
      <c r="CO65" s="701"/>
      <c r="CP65" s="701"/>
      <c r="CQ65" s="701"/>
      <c r="CR65" s="701"/>
      <c r="CS65" s="701"/>
      <c r="CT65" s="91"/>
      <c r="CU65" s="427"/>
      <c r="CV65" s="320"/>
    </row>
    <row r="66" spans="2:100" ht="18" customHeight="1">
      <c r="B66" s="542"/>
      <c r="C66" s="612"/>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84" t="str">
        <f>D40&amp;" (W2,31)"</f>
        <v>الأنشطة الاقتصادية الأخرى (W2,31)</v>
      </c>
      <c r="AB66" s="919"/>
      <c r="AC66" s="919"/>
      <c r="AD66" s="919"/>
      <c r="AE66" s="919"/>
      <c r="AF66" s="919"/>
      <c r="AG66" s="919"/>
      <c r="AH66" s="919"/>
      <c r="AI66" s="919"/>
      <c r="AJ66" s="92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1</v>
      </c>
      <c r="B71" s="553">
        <v>4955</v>
      </c>
      <c r="C71" s="562" t="s">
        <v>716</v>
      </c>
      <c r="D71" s="927" t="s">
        <v>718</v>
      </c>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v>0</v>
      </c>
      <c r="B72" s="553">
        <v>5872</v>
      </c>
      <c r="C72" s="563" t="s">
        <v>715</v>
      </c>
      <c r="D72" s="863" t="s">
        <v>719</v>
      </c>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8"/>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v>1</v>
      </c>
      <c r="B73" s="553">
        <v>4956</v>
      </c>
      <c r="C73" s="563" t="s">
        <v>717</v>
      </c>
      <c r="D73" s="863" t="s">
        <v>720</v>
      </c>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8"/>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c r="B74" s="553"/>
      <c r="C74" s="563"/>
      <c r="D74" s="863"/>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8"/>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c r="B75" s="553"/>
      <c r="C75" s="563"/>
      <c r="D75" s="863"/>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907"/>
      <c r="AJ75" s="907"/>
      <c r="AK75" s="907"/>
      <c r="AL75" s="907"/>
      <c r="AM75" s="907"/>
      <c r="AN75" s="907"/>
      <c r="AO75" s="907"/>
      <c r="AP75" s="907"/>
      <c r="AQ75" s="907"/>
      <c r="AR75" s="907"/>
      <c r="AS75" s="907"/>
      <c r="AT75" s="907"/>
      <c r="AU75" s="907"/>
      <c r="AV75" s="907"/>
      <c r="AW75" s="907"/>
      <c r="AX75" s="908"/>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3"/>
      <c r="D76" s="863"/>
      <c r="E76" s="907"/>
      <c r="F76" s="907"/>
      <c r="G76" s="907"/>
      <c r="H76" s="907"/>
      <c r="I76" s="907"/>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c r="AT76" s="907"/>
      <c r="AU76" s="907"/>
      <c r="AV76" s="907"/>
      <c r="AW76" s="907"/>
      <c r="AX76" s="908"/>
      <c r="CT76" s="91"/>
      <c r="CU76" s="427"/>
      <c r="CV76" s="320"/>
    </row>
    <row r="77" spans="1:100" ht="18" customHeight="1">
      <c r="A77" s="553"/>
      <c r="B77" s="553"/>
      <c r="C77" s="563"/>
      <c r="D77" s="863"/>
      <c r="E77" s="907"/>
      <c r="F77" s="907"/>
      <c r="G77" s="907"/>
      <c r="H77" s="907"/>
      <c r="I77" s="907"/>
      <c r="J77" s="907"/>
      <c r="K77" s="907"/>
      <c r="L77" s="907"/>
      <c r="M77" s="907"/>
      <c r="N77" s="907"/>
      <c r="O77" s="907"/>
      <c r="P77" s="907"/>
      <c r="Q77" s="907"/>
      <c r="R77" s="907"/>
      <c r="S77" s="907"/>
      <c r="T77" s="907"/>
      <c r="U77" s="907"/>
      <c r="V77" s="907"/>
      <c r="W77" s="907"/>
      <c r="X77" s="907"/>
      <c r="Y77" s="907"/>
      <c r="Z77" s="907"/>
      <c r="AA77" s="907"/>
      <c r="AB77" s="907"/>
      <c r="AC77" s="907"/>
      <c r="AD77" s="907"/>
      <c r="AE77" s="907"/>
      <c r="AF77" s="907"/>
      <c r="AG77" s="907"/>
      <c r="AH77" s="907"/>
      <c r="AI77" s="907"/>
      <c r="AJ77" s="907"/>
      <c r="AK77" s="907"/>
      <c r="AL77" s="907"/>
      <c r="AM77" s="907"/>
      <c r="AN77" s="907"/>
      <c r="AO77" s="907"/>
      <c r="AP77" s="907"/>
      <c r="AQ77" s="907"/>
      <c r="AR77" s="907"/>
      <c r="AS77" s="907"/>
      <c r="AT77" s="907"/>
      <c r="AU77" s="907"/>
      <c r="AV77" s="907"/>
      <c r="AW77" s="907"/>
      <c r="AX77" s="908"/>
      <c r="CU77" s="427"/>
      <c r="CV77" s="320"/>
    </row>
    <row r="78" spans="1:100" ht="18" customHeight="1">
      <c r="A78" s="553"/>
      <c r="B78" s="553"/>
      <c r="C78" s="563"/>
      <c r="D78" s="863"/>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CU78" s="427"/>
      <c r="CV78" s="320"/>
    </row>
    <row r="79" spans="1:100" ht="18" customHeight="1">
      <c r="A79" s="553"/>
      <c r="B79" s="553"/>
      <c r="C79" s="563"/>
      <c r="D79" s="86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4"/>
      <c r="CV79" s="320"/>
    </row>
    <row r="80" spans="1:100" ht="18" customHeight="1">
      <c r="A80" s="553"/>
      <c r="B80" s="553"/>
      <c r="C80" s="563"/>
      <c r="D80" s="863"/>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CV80" s="320"/>
    </row>
    <row r="81" spans="1:50" ht="18" customHeight="1">
      <c r="A81" s="553"/>
      <c r="B81" s="553"/>
      <c r="C81" s="563"/>
      <c r="D81" s="863"/>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8"/>
    </row>
    <row r="82" spans="1:50" ht="18" customHeight="1">
      <c r="A82" s="553"/>
      <c r="B82" s="553"/>
      <c r="C82" s="563"/>
      <c r="D82" s="863"/>
      <c r="E82" s="907"/>
      <c r="F82" s="907"/>
      <c r="G82" s="907"/>
      <c r="H82" s="907"/>
      <c r="I82" s="907"/>
      <c r="J82" s="907"/>
      <c r="K82" s="907"/>
      <c r="L82" s="907"/>
      <c r="M82" s="907"/>
      <c r="N82" s="907"/>
      <c r="O82" s="907"/>
      <c r="P82" s="907"/>
      <c r="Q82" s="907"/>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8"/>
    </row>
    <row r="83" spans="1:50" ht="18" customHeight="1">
      <c r="A83" s="553"/>
      <c r="B83" s="553"/>
      <c r="C83" s="563"/>
      <c r="D83" s="863"/>
      <c r="E83" s="907"/>
      <c r="F83" s="907"/>
      <c r="G83" s="907"/>
      <c r="H83" s="907"/>
      <c r="I83" s="907"/>
      <c r="J83" s="907"/>
      <c r="K83" s="907"/>
      <c r="L83" s="907"/>
      <c r="M83" s="907"/>
      <c r="N83" s="907"/>
      <c r="O83" s="907"/>
      <c r="P83" s="907"/>
      <c r="Q83" s="907"/>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8"/>
    </row>
    <row r="84" spans="1:50" ht="18" customHeight="1">
      <c r="A84" s="553"/>
      <c r="B84" s="553"/>
      <c r="C84" s="563"/>
      <c r="D84" s="863"/>
      <c r="E84" s="907"/>
      <c r="F84" s="907"/>
      <c r="G84" s="907"/>
      <c r="H84" s="907"/>
      <c r="I84" s="907"/>
      <c r="J84" s="907"/>
      <c r="K84" s="907"/>
      <c r="L84" s="907"/>
      <c r="M84" s="907"/>
      <c r="N84" s="907"/>
      <c r="O84" s="907"/>
      <c r="P84" s="907"/>
      <c r="Q84" s="907"/>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8"/>
    </row>
    <row r="85" spans="1:50" ht="18" customHeight="1">
      <c r="A85" s="553"/>
      <c r="B85" s="553"/>
      <c r="C85" s="563"/>
      <c r="D85" s="863"/>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8"/>
    </row>
    <row r="86" spans="1:50" ht="18" customHeight="1">
      <c r="A86" s="553"/>
      <c r="B86" s="553"/>
      <c r="C86" s="563"/>
      <c r="D86" s="863"/>
      <c r="E86" s="907"/>
      <c r="F86" s="907"/>
      <c r="G86" s="907"/>
      <c r="H86" s="907"/>
      <c r="I86" s="907"/>
      <c r="J86" s="907"/>
      <c r="K86" s="907"/>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8"/>
    </row>
    <row r="87" spans="1:50" ht="18" customHeight="1">
      <c r="A87" s="553"/>
      <c r="B87" s="553"/>
      <c r="C87" s="563"/>
      <c r="D87" s="863"/>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8"/>
    </row>
    <row r="88" spans="1:50" ht="18" customHeight="1">
      <c r="A88" s="553"/>
      <c r="B88" s="553"/>
      <c r="C88" s="563"/>
      <c r="D88" s="863"/>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907"/>
      <c r="AS88" s="907"/>
      <c r="AT88" s="907"/>
      <c r="AU88" s="907"/>
      <c r="AV88" s="907"/>
      <c r="AW88" s="907"/>
      <c r="AX88" s="908"/>
    </row>
    <row r="89" spans="1:97" ht="18" customHeight="1">
      <c r="A89" s="553"/>
      <c r="B89" s="553"/>
      <c r="C89" s="563"/>
      <c r="D89" s="863"/>
      <c r="E89" s="907"/>
      <c r="F89" s="907"/>
      <c r="G89" s="907"/>
      <c r="H89" s="907"/>
      <c r="I89" s="907"/>
      <c r="J89" s="907"/>
      <c r="K89" s="907"/>
      <c r="L89" s="907"/>
      <c r="M89" s="907"/>
      <c r="N89" s="907"/>
      <c r="O89" s="907"/>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c r="AU89" s="907"/>
      <c r="AV89" s="907"/>
      <c r="AW89" s="907"/>
      <c r="AX89" s="908"/>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row>
    <row r="90" spans="1:98" ht="18" customHeight="1">
      <c r="A90" s="553"/>
      <c r="B90" s="553"/>
      <c r="C90" s="563"/>
      <c r="D90" s="863"/>
      <c r="E90" s="907"/>
      <c r="F90" s="907"/>
      <c r="G90" s="907"/>
      <c r="H90" s="907"/>
      <c r="I90" s="907"/>
      <c r="J90" s="907"/>
      <c r="K90" s="907"/>
      <c r="L90" s="907"/>
      <c r="M90" s="907"/>
      <c r="N90" s="907"/>
      <c r="O90" s="907"/>
      <c r="P90" s="907"/>
      <c r="Q90" s="907"/>
      <c r="R90" s="907"/>
      <c r="S90" s="907"/>
      <c r="T90" s="907"/>
      <c r="U90" s="907"/>
      <c r="V90" s="907"/>
      <c r="W90" s="907"/>
      <c r="X90" s="907"/>
      <c r="Y90" s="907"/>
      <c r="Z90" s="907"/>
      <c r="AA90" s="907"/>
      <c r="AB90" s="907"/>
      <c r="AC90" s="907"/>
      <c r="AD90" s="907"/>
      <c r="AE90" s="907"/>
      <c r="AF90" s="907"/>
      <c r="AG90" s="907"/>
      <c r="AH90" s="907"/>
      <c r="AI90" s="907"/>
      <c r="AJ90" s="907"/>
      <c r="AK90" s="907"/>
      <c r="AL90" s="907"/>
      <c r="AM90" s="907"/>
      <c r="AN90" s="907"/>
      <c r="AO90" s="907"/>
      <c r="AP90" s="907"/>
      <c r="AQ90" s="907"/>
      <c r="AR90" s="907"/>
      <c r="AS90" s="907"/>
      <c r="AT90" s="907"/>
      <c r="AU90" s="907"/>
      <c r="AV90" s="907"/>
      <c r="AW90" s="907"/>
      <c r="AX90" s="908"/>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c r="CP90" s="652"/>
      <c r="CQ90" s="652"/>
      <c r="CR90" s="652"/>
      <c r="CS90" s="652"/>
      <c r="CT90" s="652"/>
    </row>
    <row r="91" spans="1:98" ht="18" customHeight="1">
      <c r="A91" s="553"/>
      <c r="B91" s="553"/>
      <c r="C91" s="563"/>
      <c r="D91" s="863"/>
      <c r="E91" s="907"/>
      <c r="F91" s="907"/>
      <c r="G91" s="907"/>
      <c r="H91" s="907"/>
      <c r="I91" s="907"/>
      <c r="J91" s="907"/>
      <c r="K91" s="907"/>
      <c r="L91" s="907"/>
      <c r="M91" s="907"/>
      <c r="N91" s="907"/>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c r="AU91" s="907"/>
      <c r="AV91" s="907"/>
      <c r="AW91" s="907"/>
      <c r="AX91" s="908"/>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BZ91" s="652"/>
      <c r="CA91" s="652"/>
      <c r="CB91" s="652"/>
      <c r="CC91" s="652"/>
      <c r="CD91" s="652"/>
      <c r="CE91" s="652"/>
      <c r="CF91" s="652"/>
      <c r="CG91" s="652"/>
      <c r="CH91" s="652"/>
      <c r="CI91" s="652"/>
      <c r="CJ91" s="652"/>
      <c r="CK91" s="652"/>
      <c r="CL91" s="652"/>
      <c r="CM91" s="652"/>
      <c r="CN91" s="652"/>
      <c r="CO91" s="652"/>
      <c r="CP91" s="652"/>
      <c r="CQ91" s="652"/>
      <c r="CR91" s="652"/>
      <c r="CS91" s="652"/>
      <c r="CT91" s="652"/>
    </row>
    <row r="92" spans="1:98" ht="18" customHeight="1">
      <c r="A92" s="553"/>
      <c r="B92" s="553"/>
      <c r="C92" s="564"/>
      <c r="D92" s="877"/>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c r="AU92" s="905"/>
      <c r="AV92" s="905"/>
      <c r="AW92" s="905"/>
      <c r="AX92" s="906"/>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c r="CP92" s="652"/>
      <c r="CQ92" s="652"/>
      <c r="CR92" s="652"/>
      <c r="CS92" s="652"/>
      <c r="CT92" s="652"/>
    </row>
    <row r="93" ht="12.75">
      <c r="CT93" s="652"/>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72:AX72"/>
    <mergeCell ref="F52:H53"/>
    <mergeCell ref="C5:AM5"/>
    <mergeCell ref="D47:AX47"/>
    <mergeCell ref="AA54:AJ54"/>
    <mergeCell ref="AA56:AJ56"/>
    <mergeCell ref="D71:AX71"/>
    <mergeCell ref="D42:AX42"/>
    <mergeCell ref="D43:AX43"/>
    <mergeCell ref="D46:AX46"/>
    <mergeCell ref="D74:AX74"/>
    <mergeCell ref="AK52:AM57"/>
    <mergeCell ref="U53:V54"/>
    <mergeCell ref="L54:N62"/>
    <mergeCell ref="Q54:S62"/>
    <mergeCell ref="F56:H56"/>
    <mergeCell ref="AA66:AJ66"/>
    <mergeCell ref="D73:AX73"/>
    <mergeCell ref="AB63:AJ63"/>
    <mergeCell ref="N64:P65"/>
    <mergeCell ref="D78:AX78"/>
    <mergeCell ref="D75:AX75"/>
    <mergeCell ref="D79:AX79"/>
    <mergeCell ref="D90:AX90"/>
    <mergeCell ref="D87:AX87"/>
    <mergeCell ref="D80:AX80"/>
    <mergeCell ref="D76:AX76"/>
    <mergeCell ref="D77:AX77"/>
    <mergeCell ref="D92:AX92"/>
    <mergeCell ref="D81:AX81"/>
    <mergeCell ref="D82:AX82"/>
    <mergeCell ref="D83:AX83"/>
    <mergeCell ref="D84:AX84"/>
    <mergeCell ref="D89:AX89"/>
    <mergeCell ref="D88:AX88"/>
    <mergeCell ref="D85:AX85"/>
    <mergeCell ref="D86:AX86"/>
    <mergeCell ref="D91:AX91"/>
    <mergeCell ref="D44:AW44"/>
    <mergeCell ref="D45:AW45"/>
    <mergeCell ref="E50:H50"/>
    <mergeCell ref="J49:N49"/>
    <mergeCell ref="F59:H61"/>
    <mergeCell ref="AA64:AJ64"/>
    <mergeCell ref="AA58:AJ58"/>
    <mergeCell ref="AA60:AJ60"/>
    <mergeCell ref="AA62:AJ62"/>
    <mergeCell ref="F63:H65"/>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60" zoomScaleNormal="60" zoomScaleSheetLayoutView="85" workbookViewId="0" topLeftCell="C1">
      <selection activeCell="F8" sqref="F8"/>
    </sheetView>
  </sheetViews>
  <sheetFormatPr defaultColWidth="9.16015625" defaultRowHeight="12.75"/>
  <cols>
    <col min="1" max="1" width="9.5" style="195" hidden="1" customWidth="1"/>
    <col min="2" max="2" width="14" style="196" hidden="1" customWidth="1"/>
    <col min="3" max="3" width="8.16015625" style="208" customWidth="1"/>
    <col min="4" max="4" width="37"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275</v>
      </c>
      <c r="C3" s="354" t="s">
        <v>320</v>
      </c>
      <c r="D3" s="97" t="s">
        <v>564</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33"/>
      <c r="BH3" s="933"/>
      <c r="BI3" s="933"/>
      <c r="BJ3" s="450"/>
      <c r="BK3" s="450"/>
      <c r="BL3" s="450"/>
      <c r="BM3" s="933"/>
      <c r="BN3" s="933"/>
      <c r="BO3" s="933"/>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921" t="s">
        <v>339</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661"/>
      <c r="CU7" s="368"/>
    </row>
    <row r="8" spans="1:99" s="217" customFormat="1" ht="30.75" customHeight="1">
      <c r="A8" s="195"/>
      <c r="B8" s="254">
        <v>275</v>
      </c>
      <c r="C8" s="393">
        <v>1</v>
      </c>
      <c r="D8" s="457" t="s">
        <v>433</v>
      </c>
      <c r="E8" s="386" t="s">
        <v>327</v>
      </c>
      <c r="F8" s="556"/>
      <c r="G8" s="581"/>
      <c r="H8" s="556"/>
      <c r="I8" s="581"/>
      <c r="J8" s="556"/>
      <c r="K8" s="581"/>
      <c r="L8" s="556"/>
      <c r="M8" s="581"/>
      <c r="N8" s="556"/>
      <c r="O8" s="581"/>
      <c r="P8" s="556"/>
      <c r="Q8" s="581"/>
      <c r="R8" s="556"/>
      <c r="S8" s="581"/>
      <c r="T8" s="556"/>
      <c r="U8" s="581"/>
      <c r="V8" s="556"/>
      <c r="W8" s="581"/>
      <c r="X8" s="556"/>
      <c r="Y8" s="581"/>
      <c r="Z8" s="556"/>
      <c r="AA8" s="581"/>
      <c r="AB8" s="556"/>
      <c r="AC8" s="581"/>
      <c r="AD8" s="556"/>
      <c r="AE8" s="581"/>
      <c r="AF8" s="556"/>
      <c r="AG8" s="581"/>
      <c r="AH8" s="556"/>
      <c r="AI8" s="581"/>
      <c r="AJ8" s="556"/>
      <c r="AK8" s="581"/>
      <c r="AL8" s="556"/>
      <c r="AM8" s="581"/>
      <c r="AN8" s="556"/>
      <c r="AO8" s="581"/>
      <c r="AP8" s="556"/>
      <c r="AQ8" s="581"/>
      <c r="AR8" s="556"/>
      <c r="AS8" s="581"/>
      <c r="AT8" s="556"/>
      <c r="AU8" s="581"/>
      <c r="AV8" s="556"/>
      <c r="AW8" s="581"/>
      <c r="AY8" s="206"/>
      <c r="AZ8" s="741">
        <v>1</v>
      </c>
      <c r="BA8" s="769" t="s">
        <v>208</v>
      </c>
      <c r="BB8" s="740" t="s">
        <v>656</v>
      </c>
      <c r="BC8" s="702" t="s">
        <v>249</v>
      </c>
      <c r="BD8" s="670"/>
      <c r="BE8" s="666" t="str">
        <f>IF(OR(ISBLANK(F8),ISBLANK(H8)),"N/A",IF(ABS((H8-F8)/F8)&gt;0.25,"&gt; 25%","ok"))</f>
        <v>N/A</v>
      </c>
      <c r="BF8" s="670"/>
      <c r="BG8" s="669" t="str">
        <f>IF(OR(ISBLANK(H8),ISBLANK(J8)),"N/A",IF(ABS((J8-H8)/H8)&gt;0.25,"&gt; 25%","ok"))</f>
        <v>N/A</v>
      </c>
      <c r="BH8" s="669"/>
      <c r="BI8" s="669" t="str">
        <f>IF(OR(ISBLANK(J8),ISBLANK(L8)),"N/A",IF(ABS((L8-J8)/J8)&gt;0.25,"&gt; 25%","ok"))</f>
        <v>N/A</v>
      </c>
      <c r="BJ8" s="669"/>
      <c r="BK8" s="669" t="str">
        <f>IF(OR(ISBLANK(L8),ISBLANK(N8)),"N/A",IF(ABS((N8-L8)/L8)&gt;0.25,"&gt; 25%","ok"))</f>
        <v>N/A</v>
      </c>
      <c r="BL8" s="669"/>
      <c r="BM8" s="669" t="str">
        <f>IF(OR(ISBLANK(N8),ISBLANK(P8)),"N/A",IF(ABS((P8-N8)/N8)&gt;0.25,"&gt; 25%","ok"))</f>
        <v>N/A</v>
      </c>
      <c r="BN8" s="669"/>
      <c r="BO8" s="669" t="str">
        <f>IF(OR(ISBLANK(P8),ISBLANK(R8)),"N/A",IF(ABS((R8-P8)/P8)&gt;0.25,"&gt; 25%","ok"))</f>
        <v>N/A</v>
      </c>
      <c r="BP8" s="669"/>
      <c r="BQ8" s="669" t="str">
        <f>IF(OR(ISBLANK(R8),ISBLANK(T8)),"N/A",IF(ABS((T8-R8)/R8)&gt;0.25,"&gt; 25%","ok"))</f>
        <v>N/A</v>
      </c>
      <c r="BR8" s="669"/>
      <c r="BS8" s="669" t="str">
        <f>IF(OR(ISBLANK(T8),ISBLANK(V8)),"N/A",IF(ABS((V8-T8)/T8)&gt;0.25,"&gt; 25%","ok"))</f>
        <v>N/A</v>
      </c>
      <c r="BT8" s="669"/>
      <c r="BU8" s="669" t="str">
        <f>IF(OR(ISBLANK(V8),ISBLANK(X8)),"N/A",IF(ABS((X8-V8)/V8)&gt;0.25,"&gt; 25%","ok"))</f>
        <v>N/A</v>
      </c>
      <c r="BV8" s="669"/>
      <c r="BW8" s="669" t="str">
        <f>IF(OR(ISBLANK(X8),ISBLANK(Z8)),"N/A",IF(ABS((Z8-X8)/X8)&gt;0.25,"&gt; 25%","ok"))</f>
        <v>N/A</v>
      </c>
      <c r="BX8" s="669"/>
      <c r="BY8" s="669" t="str">
        <f>IF(OR(ISBLANK(Z8),ISBLANK(AB8)),"N/A",IF(ABS((AB8-Z8)/Z8)&gt;0.25,"&gt; 25%","ok"))</f>
        <v>N/A</v>
      </c>
      <c r="BZ8" s="669"/>
      <c r="CA8" s="669" t="str">
        <f>IF(OR(ISBLANK(AB8),ISBLANK(AD8)),"N/A",IF(ABS((AD8-AB8)/AB8)&gt;0.25,"&gt; 25%","ok"))</f>
        <v>N/A</v>
      </c>
      <c r="CB8" s="669"/>
      <c r="CC8" s="669" t="str">
        <f>IF(OR(ISBLANK(AD8),ISBLANK(AF8)),"N/A",IF(ABS((AF8-AD8)/AD8)&gt;0.25,"&gt; 25%","ok"))</f>
        <v>N/A</v>
      </c>
      <c r="CD8" s="669"/>
      <c r="CE8" s="669" t="str">
        <f>IF(OR(ISBLANK(AF8),ISBLANK(AH8)),"N/A",IF(ABS((AH8-AF8)/AF8)&gt;0.25,"&gt; 25%","ok"))</f>
        <v>N/A</v>
      </c>
      <c r="CF8" s="669"/>
      <c r="CG8" s="669" t="str">
        <f>IF(OR(ISBLANK(AH8),ISBLANK(AJ8)),"N/A",IF(ABS((AJ8-AH8)/AH8)&gt;0.25,"&gt; 25%","ok"))</f>
        <v>N/A</v>
      </c>
      <c r="CH8" s="669"/>
      <c r="CI8" s="669" t="str">
        <f>IF(OR(ISBLANK(AJ8),ISBLANK(AL8)),"N/A",IF(ABS((AL8-AJ8)/AJ8)&gt;0.25,"&gt; 25%","ok"))</f>
        <v>N/A</v>
      </c>
      <c r="CJ8" s="669"/>
      <c r="CK8" s="669" t="str">
        <f>IF(OR(ISBLANK(AL8),ISBLANK(AN8)),"N/A",IF(ABS((AN8-AL8)/AL8)&gt;0.25,"&gt; 25%","ok"))</f>
        <v>N/A</v>
      </c>
      <c r="CL8" s="669"/>
      <c r="CM8" s="669" t="str">
        <f>IF(OR(ISBLANK(AN8),ISBLANK(AP8)),"N/A",IF(ABS((AP8-AN8)/AN8)&gt;0.25,"&gt; 25%","ok"))</f>
        <v>N/A</v>
      </c>
      <c r="CN8" s="669"/>
      <c r="CO8" s="669" t="str">
        <f>IF(OR(ISBLANK(AP8),ISBLANK(AR8)),"N/A",IF(ABS((AR8-AP8)/AP8)&gt;0.25,"&gt; 25%","ok"))</f>
        <v>N/A</v>
      </c>
      <c r="CP8" s="669"/>
      <c r="CQ8" s="669" t="str">
        <f>IF(OR(ISBLANK(AR8),ISBLANK(AT8)),"N/A",IF(ABS((AT8-AR8)/AR8)&gt;0.25,"&gt; 25%","ok"))</f>
        <v>N/A</v>
      </c>
      <c r="CR8" s="669"/>
      <c r="CS8" s="669" t="str">
        <f>IF(OR(ISBLANK(AT8),ISBLANK(AV8)),"N/A",IF(ABS((AV8-AT8)/AT8)&gt;0.25,"&gt; 25%","ok"))</f>
        <v>N/A</v>
      </c>
      <c r="CT8" s="669"/>
      <c r="CU8" s="368"/>
    </row>
    <row r="9" spans="1:99" s="217" customFormat="1" ht="20.25" customHeight="1">
      <c r="A9" s="195"/>
      <c r="B9" s="254">
        <v>2416</v>
      </c>
      <c r="C9" s="389">
        <v>2</v>
      </c>
      <c r="D9" s="263" t="s">
        <v>354</v>
      </c>
      <c r="E9" s="386" t="s">
        <v>327</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Y9" s="206"/>
      <c r="AZ9" s="740">
        <v>2</v>
      </c>
      <c r="BA9" s="752" t="s">
        <v>209</v>
      </c>
      <c r="BB9" s="740" t="s">
        <v>656</v>
      </c>
      <c r="BC9" s="667" t="s">
        <v>249</v>
      </c>
      <c r="BD9" s="670"/>
      <c r="BE9" s="666" t="str">
        <f aca="true" t="shared" si="0" ref="BE9:BE19">IF(OR(ISBLANK(F9),ISBLANK(H9)),"N/A",IF(ABS((H9-F9)/F9)&gt;0.25,"&gt; 25%","ok"))</f>
        <v>N/A</v>
      </c>
      <c r="BF9" s="670"/>
      <c r="BG9" s="669" t="str">
        <f aca="true" t="shared" si="1" ref="BG9:BG19">IF(OR(ISBLANK(H9),ISBLANK(J9)),"N/A",IF(ABS((J9-H9)/H9)&gt;0.25,"&gt; 25%","ok"))</f>
        <v>N/A</v>
      </c>
      <c r="BH9" s="669"/>
      <c r="BI9" s="669" t="str">
        <f>IF(OR(ISBLANK(J9),ISBLANK(L9)),"N/A",IF(ABS((L9-J9)/J9)&gt;0.25,"&gt; 25%","ok"))</f>
        <v>N/A</v>
      </c>
      <c r="BJ9" s="669"/>
      <c r="BK9" s="669" t="str">
        <f>IF(OR(ISBLANK(L9),ISBLANK(N9)),"N/A",IF(ABS((N9-L9)/L9)&gt;0.25,"&gt; 25%","ok"))</f>
        <v>N/A</v>
      </c>
      <c r="BL9" s="669"/>
      <c r="BM9" s="669" t="str">
        <f>IF(OR(ISBLANK(N9),ISBLANK(P9)),"N/A",IF(ABS((P9-N9)/N9)&gt;0.25,"&gt; 25%","ok"))</f>
        <v>N/A</v>
      </c>
      <c r="BN9" s="669"/>
      <c r="BO9" s="669" t="str">
        <f>IF(OR(ISBLANK(P9),ISBLANK(R9)),"N/A",IF(ABS((R9-P9)/P9)&gt;0.25,"&gt; 25%","ok"))</f>
        <v>N/A</v>
      </c>
      <c r="BP9" s="669"/>
      <c r="BQ9" s="669" t="str">
        <f>IF(OR(ISBLANK(R9),ISBLANK(T9)),"N/A",IF(ABS((T9-R9)/R9)&gt;0.25,"&gt; 25%","ok"))</f>
        <v>N/A</v>
      </c>
      <c r="BR9" s="669"/>
      <c r="BS9" s="669" t="str">
        <f>IF(OR(ISBLANK(T9),ISBLANK(V9)),"N/A",IF(ABS((V9-T9)/T9)&gt;0.25,"&gt; 25%","ok"))</f>
        <v>N/A</v>
      </c>
      <c r="BT9" s="669"/>
      <c r="BU9" s="669" t="str">
        <f>IF(OR(ISBLANK(V9),ISBLANK(X9)),"N/A",IF(ABS((X9-V9)/V9)&gt;0.25,"&gt; 25%","ok"))</f>
        <v>N/A</v>
      </c>
      <c r="BV9" s="669"/>
      <c r="BW9" s="669" t="str">
        <f>IF(OR(ISBLANK(X9),ISBLANK(Z9)),"N/A",IF(ABS((Z9-X9)/X9)&gt;0.25,"&gt; 25%","ok"))</f>
        <v>N/A</v>
      </c>
      <c r="BX9" s="669"/>
      <c r="BY9" s="669" t="str">
        <f>IF(OR(ISBLANK(Z9),ISBLANK(AB9)),"N/A",IF(ABS((AB9-Z9)/Z9)&gt;0.25,"&gt; 25%","ok"))</f>
        <v>N/A</v>
      </c>
      <c r="BZ9" s="669"/>
      <c r="CA9" s="669" t="str">
        <f>IF(OR(ISBLANK(AB9),ISBLANK(AD9)),"N/A",IF(ABS((AD9-AB9)/AB9)&gt;0.25,"&gt; 25%","ok"))</f>
        <v>N/A</v>
      </c>
      <c r="CB9" s="669"/>
      <c r="CC9" s="669" t="str">
        <f>IF(OR(ISBLANK(AD9),ISBLANK(AF9)),"N/A",IF(ABS((AF9-AD9)/AD9)&gt;0.25,"&gt; 25%","ok"))</f>
        <v>N/A</v>
      </c>
      <c r="CD9" s="669"/>
      <c r="CE9" s="669" t="str">
        <f>IF(OR(ISBLANK(AF9),ISBLANK(AH9)),"N/A",IF(ABS((AH9-AF9)/AF9)&gt;0.25,"&gt; 25%","ok"))</f>
        <v>N/A</v>
      </c>
      <c r="CF9" s="669"/>
      <c r="CG9" s="669" t="str">
        <f>IF(OR(ISBLANK(AH9),ISBLANK(AJ9)),"N/A",IF(ABS((AJ9-AH9)/AH9)&gt;0.25,"&gt; 25%","ok"))</f>
        <v>N/A</v>
      </c>
      <c r="CH9" s="669"/>
      <c r="CI9" s="669" t="str">
        <f>IF(OR(ISBLANK(AJ9),ISBLANK(AL9)),"N/A",IF(ABS((AL9-AJ9)/AJ9)&gt;0.25,"&gt; 25%","ok"))</f>
        <v>N/A</v>
      </c>
      <c r="CJ9" s="669"/>
      <c r="CK9" s="669" t="str">
        <f>IF(OR(ISBLANK(AL9),ISBLANK(AN9)),"N/A",IF(ABS((AN9-AL9)/AL9)&gt;0.25,"&gt; 25%","ok"))</f>
        <v>N/A</v>
      </c>
      <c r="CL9" s="669"/>
      <c r="CM9" s="669" t="str">
        <f aca="true" t="shared" si="2" ref="CM9:CM23">IF(OR(ISBLANK(AN9),ISBLANK(AP9)),"N/A",IF(ABS((AP9-AN9)/AN9)&gt;0.25,"&gt; 25%","ok"))</f>
        <v>N/A</v>
      </c>
      <c r="CN9" s="669"/>
      <c r="CO9" s="669" t="str">
        <f aca="true" t="shared" si="3" ref="CO9:CO23">IF(OR(ISBLANK(AP9),ISBLANK(AR9)),"N/A",IF(ABS((AR9-AP9)/AP9)&gt;0.25,"&gt; 25%","ok"))</f>
        <v>N/A</v>
      </c>
      <c r="CP9" s="669"/>
      <c r="CQ9" s="669" t="str">
        <f aca="true" t="shared" si="4" ref="CQ9:CQ23">IF(OR(ISBLANK(AR9),ISBLANK(AT9)),"N/A",IF(ABS((AT9-AR9)/AR9)&gt;0.25,"&gt; 25%","ok"))</f>
        <v>N/A</v>
      </c>
      <c r="CR9" s="669"/>
      <c r="CS9" s="669" t="str">
        <f aca="true" t="shared" si="5" ref="CS9:CS23">IF(OR(ISBLANK(AT9),ISBLANK(AV9)),"N/A",IF(ABS((AV9-AT9)/AT9)&gt;0.25,"&gt; 25%","ok"))</f>
        <v>N/A</v>
      </c>
      <c r="CT9" s="669"/>
      <c r="CU9" s="368"/>
    </row>
    <row r="10" spans="1:99" s="459" customFormat="1" ht="30.75" customHeight="1">
      <c r="A10" s="458" t="s">
        <v>240</v>
      </c>
      <c r="B10" s="254">
        <v>29</v>
      </c>
      <c r="C10" s="393">
        <v>3</v>
      </c>
      <c r="D10" s="457" t="s">
        <v>663</v>
      </c>
      <c r="E10" s="386" t="s">
        <v>327</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Y10" s="460"/>
      <c r="AZ10" s="741">
        <v>3</v>
      </c>
      <c r="BA10" s="769" t="s">
        <v>657</v>
      </c>
      <c r="BB10" s="740" t="s">
        <v>656</v>
      </c>
      <c r="BC10" s="667" t="s">
        <v>249</v>
      </c>
      <c r="BD10" s="670"/>
      <c r="BE10" s="666" t="str">
        <f t="shared" si="0"/>
        <v>N/A</v>
      </c>
      <c r="BF10" s="670"/>
      <c r="BG10" s="669" t="str">
        <f t="shared" si="1"/>
        <v>N/A</v>
      </c>
      <c r="BH10" s="669"/>
      <c r="BI10" s="669" t="str">
        <f>IF(OR(ISBLANK(J10),ISBLANK(L10)),"N/A",IF(ABS((L10-J10)/J10)&gt;0.25,"&gt; 25%","ok"))</f>
        <v>N/A</v>
      </c>
      <c r="BJ10" s="669"/>
      <c r="BK10" s="669" t="str">
        <f>IF(OR(ISBLANK(L10),ISBLANK(N10)),"N/A",IF(ABS((N10-L10)/L10)&gt;0.25,"&gt; 25%","ok"))</f>
        <v>N/A</v>
      </c>
      <c r="BL10" s="669"/>
      <c r="BM10" s="669" t="str">
        <f>IF(OR(ISBLANK(N10),ISBLANK(P10)),"N/A",IF(ABS((P10-N10)/N10)&gt;0.25,"&gt; 25%","ok"))</f>
        <v>N/A</v>
      </c>
      <c r="BN10" s="669"/>
      <c r="BO10" s="669" t="str">
        <f>IF(OR(ISBLANK(P10),ISBLANK(R10)),"N/A",IF(ABS((R10-P10)/P10)&gt;0.25,"&gt; 25%","ok"))</f>
        <v>N/A</v>
      </c>
      <c r="BP10" s="669"/>
      <c r="BQ10" s="669" t="str">
        <f>IF(OR(ISBLANK(R10),ISBLANK(T10)),"N/A",IF(ABS((T10-R10)/R10)&gt;0.25,"&gt; 25%","ok"))</f>
        <v>N/A</v>
      </c>
      <c r="BR10" s="669"/>
      <c r="BS10" s="669" t="str">
        <f>IF(OR(ISBLANK(T10),ISBLANK(V10)),"N/A",IF(ABS((V10-T10)/T10)&gt;0.25,"&gt; 25%","ok"))</f>
        <v>N/A</v>
      </c>
      <c r="BT10" s="669"/>
      <c r="BU10" s="669" t="str">
        <f>IF(OR(ISBLANK(V10),ISBLANK(X10)),"N/A",IF(ABS((X10-V10)/V10)&gt;0.25,"&gt; 25%","ok"))</f>
        <v>N/A</v>
      </c>
      <c r="BV10" s="669"/>
      <c r="BW10" s="669" t="str">
        <f>IF(OR(ISBLANK(X10),ISBLANK(Z10)),"N/A",IF(ABS((Z10-X10)/X10)&gt;0.25,"&gt; 25%","ok"))</f>
        <v>N/A</v>
      </c>
      <c r="BX10" s="669"/>
      <c r="BY10" s="669" t="str">
        <f>IF(OR(ISBLANK(Z10),ISBLANK(AB10)),"N/A",IF(ABS((AB10-Z10)/Z10)&gt;0.25,"&gt; 25%","ok"))</f>
        <v>N/A</v>
      </c>
      <c r="BZ10" s="669"/>
      <c r="CA10" s="669" t="str">
        <f>IF(OR(ISBLANK(AB10),ISBLANK(AD10)),"N/A",IF(ABS((AD10-AB10)/AB10)&gt;0.25,"&gt; 25%","ok"))</f>
        <v>N/A</v>
      </c>
      <c r="CB10" s="669"/>
      <c r="CC10" s="669" t="str">
        <f>IF(OR(ISBLANK(AD10),ISBLANK(AF10)),"N/A",IF(ABS((AF10-AD10)/AD10)&gt;0.25,"&gt; 25%","ok"))</f>
        <v>N/A</v>
      </c>
      <c r="CD10" s="669"/>
      <c r="CE10" s="669" t="str">
        <f>IF(OR(ISBLANK(AF10),ISBLANK(AH10)),"N/A",IF(ABS((AH10-AF10)/AF10)&gt;0.25,"&gt; 25%","ok"))</f>
        <v>N/A</v>
      </c>
      <c r="CF10" s="669"/>
      <c r="CG10" s="669" t="str">
        <f>IF(OR(ISBLANK(AH10),ISBLANK(AJ10)),"N/A",IF(ABS((AJ10-AH10)/AH10)&gt;0.25,"&gt; 25%","ok"))</f>
        <v>N/A</v>
      </c>
      <c r="CH10" s="669"/>
      <c r="CI10" s="669" t="str">
        <f>IF(OR(ISBLANK(AJ10),ISBLANK(AL10)),"N/A",IF(ABS((AL10-AJ10)/AJ10)&gt;0.25,"&gt; 25%","ok"))</f>
        <v>N/A</v>
      </c>
      <c r="CJ10" s="669"/>
      <c r="CK10" s="669" t="str">
        <f>IF(OR(ISBLANK(AL10),ISBLANK(AN10)),"N/A",IF(ABS((AN10-AL10)/AL10)&gt;0.25,"&gt; 25%","ok"))</f>
        <v>N/A</v>
      </c>
      <c r="CL10" s="669"/>
      <c r="CM10" s="669" t="str">
        <f t="shared" si="2"/>
        <v>N/A</v>
      </c>
      <c r="CN10" s="669"/>
      <c r="CO10" s="669" t="str">
        <f t="shared" si="3"/>
        <v>N/A</v>
      </c>
      <c r="CP10" s="669"/>
      <c r="CQ10" s="669" t="str">
        <f t="shared" si="4"/>
        <v>N/A</v>
      </c>
      <c r="CR10" s="669"/>
      <c r="CS10" s="669" t="str">
        <f t="shared" si="5"/>
        <v>N/A</v>
      </c>
      <c r="CT10" s="669"/>
      <c r="CU10" s="368"/>
    </row>
    <row r="11" spans="1:99" s="459" customFormat="1" ht="20.25" customHeight="1">
      <c r="A11" s="461"/>
      <c r="B11" s="254">
        <v>5008</v>
      </c>
      <c r="C11" s="616"/>
      <c r="D11" s="768" t="s">
        <v>355</v>
      </c>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Y11" s="460"/>
      <c r="AZ11" s="757"/>
      <c r="BA11" s="756" t="s">
        <v>210</v>
      </c>
      <c r="BB11" s="741"/>
      <c r="BC11" s="662"/>
      <c r="BD11" s="665"/>
      <c r="BE11" s="666"/>
      <c r="BF11" s="670"/>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t="str">
        <f t="shared" si="2"/>
        <v>N/A</v>
      </c>
      <c r="CN11" s="669"/>
      <c r="CO11" s="669"/>
      <c r="CP11" s="669"/>
      <c r="CQ11" s="669"/>
      <c r="CR11" s="669"/>
      <c r="CS11" s="669"/>
      <c r="CT11" s="669"/>
      <c r="CU11" s="368"/>
    </row>
    <row r="12" spans="1:98" s="464" customFormat="1" ht="20.25" customHeight="1">
      <c r="A12" s="246"/>
      <c r="B12" s="254">
        <v>38</v>
      </c>
      <c r="C12" s="384">
        <v>4</v>
      </c>
      <c r="D12" s="463" t="s">
        <v>346</v>
      </c>
      <c r="E12" s="386" t="s">
        <v>327</v>
      </c>
      <c r="F12" s="554">
        <v>116.599998474121</v>
      </c>
      <c r="G12" s="579" t="s">
        <v>716</v>
      </c>
      <c r="H12" s="554">
        <v>104</v>
      </c>
      <c r="I12" s="579" t="s">
        <v>716</v>
      </c>
      <c r="J12" s="554">
        <v>125.199996948242</v>
      </c>
      <c r="K12" s="579" t="s">
        <v>716</v>
      </c>
      <c r="L12" s="554"/>
      <c r="M12" s="579"/>
      <c r="N12" s="554">
        <v>142.899993896484</v>
      </c>
      <c r="O12" s="579"/>
      <c r="P12" s="554">
        <v>153.199996948242</v>
      </c>
      <c r="Q12" s="579"/>
      <c r="R12" s="554">
        <v>160.199996948242</v>
      </c>
      <c r="S12" s="579"/>
      <c r="T12" s="554">
        <v>175.600006103516</v>
      </c>
      <c r="U12" s="579"/>
      <c r="V12" s="554">
        <v>185.5</v>
      </c>
      <c r="W12" s="579"/>
      <c r="X12" s="554">
        <v>182.199996948242</v>
      </c>
      <c r="Y12" s="579"/>
      <c r="Z12" s="554">
        <v>85</v>
      </c>
      <c r="AA12" s="579" t="s">
        <v>716</v>
      </c>
      <c r="AB12" s="554">
        <v>88.3000030517578</v>
      </c>
      <c r="AC12" s="579" t="s">
        <v>716</v>
      </c>
      <c r="AD12" s="554">
        <v>199.899993896484</v>
      </c>
      <c r="AE12" s="579"/>
      <c r="AF12" s="554">
        <v>205.699996948242</v>
      </c>
      <c r="AG12" s="579"/>
      <c r="AH12" s="554">
        <v>191.300003051758</v>
      </c>
      <c r="AI12" s="579"/>
      <c r="AJ12" s="554">
        <v>214.899993896484</v>
      </c>
      <c r="AK12" s="579"/>
      <c r="AL12" s="554">
        <v>210.2</v>
      </c>
      <c r="AM12" s="579"/>
      <c r="AN12" s="554">
        <v>213.2</v>
      </c>
      <c r="AO12" s="579"/>
      <c r="AP12" s="554">
        <v>214</v>
      </c>
      <c r="AQ12" s="579"/>
      <c r="AR12" s="554">
        <v>227.3</v>
      </c>
      <c r="AS12" s="579"/>
      <c r="AT12" s="554">
        <v>232.6</v>
      </c>
      <c r="AU12" s="579"/>
      <c r="AV12" s="554">
        <v>250.7</v>
      </c>
      <c r="AW12" s="579"/>
      <c r="AY12" s="465"/>
      <c r="AZ12" s="738">
        <v>4</v>
      </c>
      <c r="BA12" s="746" t="s">
        <v>23</v>
      </c>
      <c r="BB12" s="740" t="s">
        <v>656</v>
      </c>
      <c r="BC12" s="666" t="s">
        <v>249</v>
      </c>
      <c r="BD12" s="665"/>
      <c r="BE12" s="666" t="str">
        <f t="shared" si="0"/>
        <v>ok</v>
      </c>
      <c r="BF12" s="670"/>
      <c r="BG12" s="669" t="str">
        <f t="shared" si="1"/>
        <v>ok</v>
      </c>
      <c r="BH12" s="669"/>
      <c r="BI12" s="669" t="str">
        <f aca="true" t="shared" si="6" ref="BI12:BI19">IF(OR(ISBLANK(J12),ISBLANK(L12)),"N/A",IF(ABS((L12-J12)/J12)&gt;0.25,"&gt; 25%","ok"))</f>
        <v>N/A</v>
      </c>
      <c r="BJ12" s="669"/>
      <c r="BK12" s="669" t="str">
        <f aca="true" t="shared" si="7" ref="BK12:BK19">IF(OR(ISBLANK(L12),ISBLANK(N12)),"N/A",IF(ABS((N12-L12)/L12)&gt;0.25,"&gt; 25%","ok"))</f>
        <v>N/A</v>
      </c>
      <c r="BL12" s="669"/>
      <c r="BM12" s="669" t="str">
        <f aca="true" t="shared" si="8" ref="BM12:BM19">IF(OR(ISBLANK(N12),ISBLANK(P12)),"N/A",IF(ABS((P12-N12)/N12)&gt;0.25,"&gt; 25%","ok"))</f>
        <v>ok</v>
      </c>
      <c r="BN12" s="669"/>
      <c r="BO12" s="669" t="str">
        <f aca="true" t="shared" si="9" ref="BO12:BO19">IF(OR(ISBLANK(P12),ISBLANK(R12)),"N/A",IF(ABS((R12-P12)/P12)&gt;0.25,"&gt; 25%","ok"))</f>
        <v>ok</v>
      </c>
      <c r="BP12" s="669"/>
      <c r="BQ12" s="669" t="str">
        <f aca="true" t="shared" si="10" ref="BQ12:BQ19">IF(OR(ISBLANK(R12),ISBLANK(T12)),"N/A",IF(ABS((T12-R12)/R12)&gt;0.25,"&gt; 25%","ok"))</f>
        <v>ok</v>
      </c>
      <c r="BR12" s="669"/>
      <c r="BS12" s="669" t="str">
        <f aca="true" t="shared" si="11" ref="BS12:BS19">IF(OR(ISBLANK(T12),ISBLANK(V12)),"N/A",IF(ABS((V12-T12)/T12)&gt;0.25,"&gt; 25%","ok"))</f>
        <v>ok</v>
      </c>
      <c r="BT12" s="669"/>
      <c r="BU12" s="669" t="str">
        <f aca="true" t="shared" si="12" ref="BU12:BU19">IF(OR(ISBLANK(V12),ISBLANK(X12)),"N/A",IF(ABS((X12-V12)/V12)&gt;0.25,"&gt; 25%","ok"))</f>
        <v>ok</v>
      </c>
      <c r="BV12" s="669"/>
      <c r="BW12" s="669" t="str">
        <f aca="true" t="shared" si="13" ref="BW12:BW19">IF(OR(ISBLANK(X12),ISBLANK(Z12)),"N/A",IF(ABS((Z12-X12)/X12)&gt;0.25,"&gt; 25%","ok"))</f>
        <v>&gt; 25%</v>
      </c>
      <c r="BX12" s="669"/>
      <c r="BY12" s="669" t="str">
        <f aca="true" t="shared" si="14" ref="BY12:BY19">IF(OR(ISBLANK(Z12),ISBLANK(AB12)),"N/A",IF(ABS((AB12-Z12)/Z12)&gt;0.25,"&gt; 25%","ok"))</f>
        <v>ok</v>
      </c>
      <c r="BZ12" s="669"/>
      <c r="CA12" s="669" t="str">
        <f aca="true" t="shared" si="15" ref="CA12:CA19">IF(OR(ISBLANK(AB12),ISBLANK(AD12)),"N/A",IF(ABS((AD12-AB12)/AB12)&gt;0.25,"&gt; 25%","ok"))</f>
        <v>&gt; 25%</v>
      </c>
      <c r="CB12" s="669"/>
      <c r="CC12" s="669" t="str">
        <f aca="true" t="shared" si="16" ref="CC12:CC19">IF(OR(ISBLANK(AD12),ISBLANK(AF12)),"N/A",IF(ABS((AF12-AD12)/AD12)&gt;0.25,"&gt; 25%","ok"))</f>
        <v>ok</v>
      </c>
      <c r="CD12" s="669"/>
      <c r="CE12" s="669" t="str">
        <f aca="true" t="shared" si="17" ref="CE12:CE19">IF(OR(ISBLANK(AF12),ISBLANK(AH12)),"N/A",IF(ABS((AH12-AF12)/AF12)&gt;0.25,"&gt; 25%","ok"))</f>
        <v>ok</v>
      </c>
      <c r="CF12" s="669"/>
      <c r="CG12" s="669" t="str">
        <f aca="true" t="shared" si="18" ref="CG12:CG19">IF(OR(ISBLANK(AH12),ISBLANK(AJ12)),"N/A",IF(ABS((AJ12-AH12)/AH12)&gt;0.25,"&gt; 25%","ok"))</f>
        <v>ok</v>
      </c>
      <c r="CH12" s="669"/>
      <c r="CI12" s="669" t="str">
        <f aca="true" t="shared" si="19" ref="CI12:CI19">IF(OR(ISBLANK(AJ12),ISBLANK(AL12)),"N/A",IF(ABS((AL12-AJ12)/AJ12)&gt;0.25,"&gt; 25%","ok"))</f>
        <v>ok</v>
      </c>
      <c r="CJ12" s="669"/>
      <c r="CK12" s="669" t="str">
        <f aca="true" t="shared" si="20" ref="CK12:CK19">IF(OR(ISBLANK(AL12),ISBLANK(AN12)),"N/A",IF(ABS((AN12-AL12)/AL12)&gt;0.25,"&gt; 25%","ok"))</f>
        <v>ok</v>
      </c>
      <c r="CL12" s="669"/>
      <c r="CM12" s="669" t="str">
        <f t="shared" si="2"/>
        <v>ok</v>
      </c>
      <c r="CN12" s="669"/>
      <c r="CO12" s="669" t="str">
        <f t="shared" si="3"/>
        <v>ok</v>
      </c>
      <c r="CP12" s="669"/>
      <c r="CQ12" s="669" t="str">
        <f t="shared" si="4"/>
        <v>ok</v>
      </c>
      <c r="CR12" s="669"/>
      <c r="CS12" s="669" t="str">
        <f t="shared" si="5"/>
        <v>ok</v>
      </c>
      <c r="CT12" s="669"/>
    </row>
    <row r="13" spans="2:98" ht="20.25" customHeight="1">
      <c r="B13" s="254">
        <v>81</v>
      </c>
      <c r="C13" s="389">
        <v>5</v>
      </c>
      <c r="D13" s="466" t="s">
        <v>349</v>
      </c>
      <c r="E13" s="386"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Z13" s="740">
        <v>5</v>
      </c>
      <c r="BA13" s="745" t="s">
        <v>257</v>
      </c>
      <c r="BB13" s="740" t="s">
        <v>656</v>
      </c>
      <c r="BC13" s="667" t="s">
        <v>249</v>
      </c>
      <c r="BD13" s="670"/>
      <c r="BE13" s="666" t="str">
        <f t="shared" si="0"/>
        <v>N/A</v>
      </c>
      <c r="BF13" s="670"/>
      <c r="BG13" s="669" t="str">
        <f t="shared" si="1"/>
        <v>N/A</v>
      </c>
      <c r="BH13" s="669"/>
      <c r="BI13" s="669" t="str">
        <f t="shared" si="6"/>
        <v>N/A</v>
      </c>
      <c r="BJ13" s="669"/>
      <c r="BK13" s="669" t="str">
        <f t="shared" si="7"/>
        <v>N/A</v>
      </c>
      <c r="BL13" s="669"/>
      <c r="BM13" s="669" t="str">
        <f t="shared" si="8"/>
        <v>N/A</v>
      </c>
      <c r="BN13" s="669"/>
      <c r="BO13" s="669" t="str">
        <f t="shared" si="9"/>
        <v>N/A</v>
      </c>
      <c r="BP13" s="669"/>
      <c r="BQ13" s="669" t="str">
        <f t="shared" si="10"/>
        <v>N/A</v>
      </c>
      <c r="BR13" s="669"/>
      <c r="BS13" s="669" t="str">
        <f t="shared" si="11"/>
        <v>N/A</v>
      </c>
      <c r="BT13" s="669"/>
      <c r="BU13" s="669" t="str">
        <f t="shared" si="12"/>
        <v>N/A</v>
      </c>
      <c r="BV13" s="669"/>
      <c r="BW13" s="669" t="str">
        <f t="shared" si="13"/>
        <v>N/A</v>
      </c>
      <c r="BX13" s="669"/>
      <c r="BY13" s="669" t="str">
        <f t="shared" si="14"/>
        <v>N/A</v>
      </c>
      <c r="BZ13" s="669"/>
      <c r="CA13" s="669" t="str">
        <f t="shared" si="15"/>
        <v>N/A</v>
      </c>
      <c r="CB13" s="669"/>
      <c r="CC13" s="669" t="str">
        <f t="shared" si="16"/>
        <v>N/A</v>
      </c>
      <c r="CD13" s="669"/>
      <c r="CE13" s="669" t="str">
        <f t="shared" si="17"/>
        <v>N/A</v>
      </c>
      <c r="CF13" s="669"/>
      <c r="CG13" s="669" t="str">
        <f t="shared" si="18"/>
        <v>N/A</v>
      </c>
      <c r="CH13" s="669"/>
      <c r="CI13" s="669" t="str">
        <f t="shared" si="19"/>
        <v>N/A</v>
      </c>
      <c r="CJ13" s="669"/>
      <c r="CK13" s="669" t="str">
        <f t="shared" si="20"/>
        <v>N/A</v>
      </c>
      <c r="CL13" s="669"/>
      <c r="CM13" s="669" t="str">
        <f t="shared" si="2"/>
        <v>N/A</v>
      </c>
      <c r="CN13" s="669"/>
      <c r="CO13" s="669" t="str">
        <f t="shared" si="3"/>
        <v>N/A</v>
      </c>
      <c r="CP13" s="669"/>
      <c r="CQ13" s="669" t="str">
        <f t="shared" si="4"/>
        <v>N/A</v>
      </c>
      <c r="CR13" s="669"/>
      <c r="CS13" s="669" t="str">
        <f t="shared" si="5"/>
        <v>N/A</v>
      </c>
      <c r="CT13" s="669"/>
    </row>
    <row r="14" spans="2:98" ht="20.25" customHeight="1">
      <c r="B14" s="254">
        <v>42</v>
      </c>
      <c r="C14" s="389">
        <v>6</v>
      </c>
      <c r="D14" s="466" t="s">
        <v>616</v>
      </c>
      <c r="E14" s="386" t="s">
        <v>327</v>
      </c>
      <c r="F14" s="555"/>
      <c r="G14" s="580"/>
      <c r="H14" s="555"/>
      <c r="I14" s="580"/>
      <c r="J14" s="555"/>
      <c r="K14" s="580"/>
      <c r="L14" s="555"/>
      <c r="M14" s="580"/>
      <c r="N14" s="555"/>
      <c r="O14" s="580"/>
      <c r="P14" s="555"/>
      <c r="Q14" s="580"/>
      <c r="R14" s="555"/>
      <c r="S14" s="580"/>
      <c r="T14" s="555"/>
      <c r="U14" s="580"/>
      <c r="V14" s="555"/>
      <c r="W14" s="580"/>
      <c r="X14" s="555"/>
      <c r="Y14" s="580"/>
      <c r="Z14" s="555"/>
      <c r="AA14" s="580"/>
      <c r="AB14" s="555"/>
      <c r="AC14" s="580"/>
      <c r="AD14" s="555"/>
      <c r="AE14" s="580"/>
      <c r="AF14" s="555"/>
      <c r="AG14" s="580"/>
      <c r="AH14" s="555"/>
      <c r="AI14" s="580"/>
      <c r="AJ14" s="555"/>
      <c r="AK14" s="580"/>
      <c r="AL14" s="555"/>
      <c r="AM14" s="580"/>
      <c r="AN14" s="555"/>
      <c r="AO14" s="580"/>
      <c r="AP14" s="555"/>
      <c r="AQ14" s="580"/>
      <c r="AR14" s="555"/>
      <c r="AS14" s="580"/>
      <c r="AT14" s="555"/>
      <c r="AU14" s="580"/>
      <c r="AV14" s="555"/>
      <c r="AW14" s="580"/>
      <c r="AZ14" s="740">
        <v>6</v>
      </c>
      <c r="BA14" s="745" t="s">
        <v>626</v>
      </c>
      <c r="BB14" s="740" t="s">
        <v>656</v>
      </c>
      <c r="BC14" s="667"/>
      <c r="BD14" s="670"/>
      <c r="BE14" s="666" t="str">
        <f t="shared" si="0"/>
        <v>N/A</v>
      </c>
      <c r="BF14" s="670"/>
      <c r="BG14" s="669" t="str">
        <f t="shared" si="1"/>
        <v>N/A</v>
      </c>
      <c r="BH14" s="669"/>
      <c r="BI14" s="669" t="str">
        <f t="shared" si="6"/>
        <v>N/A</v>
      </c>
      <c r="BJ14" s="669"/>
      <c r="BK14" s="669" t="str">
        <f t="shared" si="7"/>
        <v>N/A</v>
      </c>
      <c r="BL14" s="669"/>
      <c r="BM14" s="669" t="str">
        <f t="shared" si="8"/>
        <v>N/A</v>
      </c>
      <c r="BN14" s="669"/>
      <c r="BO14" s="669" t="str">
        <f t="shared" si="9"/>
        <v>N/A</v>
      </c>
      <c r="BP14" s="669"/>
      <c r="BQ14" s="669" t="str">
        <f t="shared" si="10"/>
        <v>N/A</v>
      </c>
      <c r="BR14" s="669"/>
      <c r="BS14" s="669" t="str">
        <f t="shared" si="11"/>
        <v>N/A</v>
      </c>
      <c r="BT14" s="669"/>
      <c r="BU14" s="669" t="str">
        <f t="shared" si="12"/>
        <v>N/A</v>
      </c>
      <c r="BV14" s="669"/>
      <c r="BW14" s="669" t="str">
        <f t="shared" si="13"/>
        <v>N/A</v>
      </c>
      <c r="BX14" s="669"/>
      <c r="BY14" s="669" t="str">
        <f t="shared" si="14"/>
        <v>N/A</v>
      </c>
      <c r="BZ14" s="669"/>
      <c r="CA14" s="669" t="str">
        <f t="shared" si="15"/>
        <v>N/A</v>
      </c>
      <c r="CB14" s="669"/>
      <c r="CC14" s="669" t="str">
        <f t="shared" si="16"/>
        <v>N/A</v>
      </c>
      <c r="CD14" s="669"/>
      <c r="CE14" s="669" t="str">
        <f t="shared" si="17"/>
        <v>N/A</v>
      </c>
      <c r="CF14" s="669"/>
      <c r="CG14" s="669" t="str">
        <f t="shared" si="18"/>
        <v>N/A</v>
      </c>
      <c r="CH14" s="669"/>
      <c r="CI14" s="669" t="str">
        <f t="shared" si="19"/>
        <v>N/A</v>
      </c>
      <c r="CJ14" s="669"/>
      <c r="CK14" s="669" t="str">
        <f t="shared" si="20"/>
        <v>N/A</v>
      </c>
      <c r="CL14" s="669"/>
      <c r="CM14" s="669" t="str">
        <f t="shared" si="2"/>
        <v>N/A</v>
      </c>
      <c r="CN14" s="669"/>
      <c r="CO14" s="669" t="str">
        <f t="shared" si="3"/>
        <v>N/A</v>
      </c>
      <c r="CP14" s="669"/>
      <c r="CQ14" s="669" t="str">
        <f t="shared" si="4"/>
        <v>N/A</v>
      </c>
      <c r="CR14" s="669"/>
      <c r="CS14" s="669" t="str">
        <f t="shared" si="5"/>
        <v>N/A</v>
      </c>
      <c r="CT14" s="669"/>
    </row>
    <row r="15" spans="2:98" ht="20.25" customHeight="1">
      <c r="B15" s="254">
        <v>33</v>
      </c>
      <c r="C15" s="389">
        <v>7</v>
      </c>
      <c r="D15" s="466" t="s">
        <v>347</v>
      </c>
      <c r="E15" s="386" t="s">
        <v>327</v>
      </c>
      <c r="F15" s="555"/>
      <c r="G15" s="580"/>
      <c r="H15" s="555"/>
      <c r="I15" s="580"/>
      <c r="J15" s="555"/>
      <c r="K15" s="580"/>
      <c r="L15" s="555"/>
      <c r="M15" s="580"/>
      <c r="N15" s="555"/>
      <c r="O15" s="580"/>
      <c r="P15" s="555"/>
      <c r="Q15" s="580"/>
      <c r="R15" s="555"/>
      <c r="S15" s="580"/>
      <c r="T15" s="555"/>
      <c r="U15" s="580"/>
      <c r="V15" s="555"/>
      <c r="W15" s="580"/>
      <c r="X15" s="555"/>
      <c r="Y15" s="580"/>
      <c r="Z15" s="555"/>
      <c r="AA15" s="580"/>
      <c r="AB15" s="555"/>
      <c r="AC15" s="580"/>
      <c r="AD15" s="555"/>
      <c r="AE15" s="580"/>
      <c r="AF15" s="555"/>
      <c r="AG15" s="580"/>
      <c r="AH15" s="555"/>
      <c r="AI15" s="580"/>
      <c r="AJ15" s="555"/>
      <c r="AK15" s="580"/>
      <c r="AL15" s="555"/>
      <c r="AM15" s="580"/>
      <c r="AN15" s="555"/>
      <c r="AO15" s="580"/>
      <c r="AP15" s="555"/>
      <c r="AQ15" s="580"/>
      <c r="AR15" s="555"/>
      <c r="AS15" s="580"/>
      <c r="AT15" s="555"/>
      <c r="AU15" s="580"/>
      <c r="AV15" s="555"/>
      <c r="AW15" s="580"/>
      <c r="AZ15" s="740">
        <v>7</v>
      </c>
      <c r="BA15" s="745" t="s">
        <v>194</v>
      </c>
      <c r="BB15" s="740" t="s">
        <v>656</v>
      </c>
      <c r="BC15" s="667" t="s">
        <v>249</v>
      </c>
      <c r="BD15" s="670"/>
      <c r="BE15" s="666" t="str">
        <f t="shared" si="0"/>
        <v>N/A</v>
      </c>
      <c r="BF15" s="670"/>
      <c r="BG15" s="669" t="str">
        <f t="shared" si="1"/>
        <v>N/A</v>
      </c>
      <c r="BH15" s="669"/>
      <c r="BI15" s="669" t="str">
        <f t="shared" si="6"/>
        <v>N/A</v>
      </c>
      <c r="BJ15" s="669"/>
      <c r="BK15" s="669" t="str">
        <f t="shared" si="7"/>
        <v>N/A</v>
      </c>
      <c r="BL15" s="669"/>
      <c r="BM15" s="669" t="str">
        <f t="shared" si="8"/>
        <v>N/A</v>
      </c>
      <c r="BN15" s="669"/>
      <c r="BO15" s="669" t="str">
        <f t="shared" si="9"/>
        <v>N/A</v>
      </c>
      <c r="BP15" s="669"/>
      <c r="BQ15" s="669" t="str">
        <f t="shared" si="10"/>
        <v>N/A</v>
      </c>
      <c r="BR15" s="669"/>
      <c r="BS15" s="669" t="str">
        <f t="shared" si="11"/>
        <v>N/A</v>
      </c>
      <c r="BT15" s="669"/>
      <c r="BU15" s="669" t="str">
        <f t="shared" si="12"/>
        <v>N/A</v>
      </c>
      <c r="BV15" s="669"/>
      <c r="BW15" s="669" t="str">
        <f t="shared" si="13"/>
        <v>N/A</v>
      </c>
      <c r="BX15" s="669"/>
      <c r="BY15" s="669" t="str">
        <f t="shared" si="14"/>
        <v>N/A</v>
      </c>
      <c r="BZ15" s="669"/>
      <c r="CA15" s="669" t="str">
        <f t="shared" si="15"/>
        <v>N/A</v>
      </c>
      <c r="CB15" s="669"/>
      <c r="CC15" s="669" t="str">
        <f t="shared" si="16"/>
        <v>N/A</v>
      </c>
      <c r="CD15" s="669"/>
      <c r="CE15" s="669" t="str">
        <f t="shared" si="17"/>
        <v>N/A</v>
      </c>
      <c r="CF15" s="669"/>
      <c r="CG15" s="669" t="str">
        <f t="shared" si="18"/>
        <v>N/A</v>
      </c>
      <c r="CH15" s="669"/>
      <c r="CI15" s="669" t="str">
        <f t="shared" si="19"/>
        <v>N/A</v>
      </c>
      <c r="CJ15" s="669"/>
      <c r="CK15" s="669" t="str">
        <f t="shared" si="20"/>
        <v>N/A</v>
      </c>
      <c r="CL15" s="669"/>
      <c r="CM15" s="669" t="str">
        <f t="shared" si="2"/>
        <v>N/A</v>
      </c>
      <c r="CN15" s="669"/>
      <c r="CO15" s="669" t="str">
        <f t="shared" si="3"/>
        <v>N/A</v>
      </c>
      <c r="CP15" s="669"/>
      <c r="CQ15" s="669" t="str">
        <f t="shared" si="4"/>
        <v>N/A</v>
      </c>
      <c r="CR15" s="669"/>
      <c r="CS15" s="669" t="str">
        <f t="shared" si="5"/>
        <v>N/A</v>
      </c>
      <c r="CT15" s="669"/>
    </row>
    <row r="16" spans="2:98" ht="33.75">
      <c r="B16" s="254">
        <v>44</v>
      </c>
      <c r="C16" s="384">
        <v>8</v>
      </c>
      <c r="D16" s="463" t="s">
        <v>617</v>
      </c>
      <c r="E16" s="386" t="s">
        <v>327</v>
      </c>
      <c r="F16" s="555"/>
      <c r="G16" s="580"/>
      <c r="H16" s="555"/>
      <c r="I16" s="580"/>
      <c r="J16" s="555"/>
      <c r="K16" s="580"/>
      <c r="L16" s="555"/>
      <c r="M16" s="580"/>
      <c r="N16" s="555"/>
      <c r="O16" s="580"/>
      <c r="P16" s="555"/>
      <c r="Q16" s="580"/>
      <c r="R16" s="555"/>
      <c r="S16" s="580"/>
      <c r="T16" s="555"/>
      <c r="U16" s="580"/>
      <c r="V16" s="555"/>
      <c r="W16" s="580"/>
      <c r="X16" s="555"/>
      <c r="Y16" s="580"/>
      <c r="Z16" s="555"/>
      <c r="AA16" s="580"/>
      <c r="AB16" s="555"/>
      <c r="AC16" s="580"/>
      <c r="AD16" s="555"/>
      <c r="AE16" s="580"/>
      <c r="AF16" s="555"/>
      <c r="AG16" s="580"/>
      <c r="AH16" s="555"/>
      <c r="AI16" s="580"/>
      <c r="AJ16" s="555"/>
      <c r="AK16" s="580"/>
      <c r="AL16" s="555"/>
      <c r="AM16" s="580"/>
      <c r="AN16" s="555"/>
      <c r="AO16" s="580"/>
      <c r="AP16" s="555"/>
      <c r="AQ16" s="580"/>
      <c r="AR16" s="555"/>
      <c r="AS16" s="580"/>
      <c r="AT16" s="555"/>
      <c r="AU16" s="580"/>
      <c r="AV16" s="555"/>
      <c r="AW16" s="580"/>
      <c r="AZ16" s="738">
        <v>8</v>
      </c>
      <c r="BA16" s="744" t="s">
        <v>644</v>
      </c>
      <c r="BB16" s="740" t="s">
        <v>656</v>
      </c>
      <c r="BC16" s="667"/>
      <c r="BD16" s="670"/>
      <c r="BE16" s="666" t="str">
        <f t="shared" si="0"/>
        <v>N/A</v>
      </c>
      <c r="BF16" s="670"/>
      <c r="BG16" s="669" t="str">
        <f t="shared" si="1"/>
        <v>N/A</v>
      </c>
      <c r="BH16" s="669"/>
      <c r="BI16" s="669" t="str">
        <f t="shared" si="6"/>
        <v>N/A</v>
      </c>
      <c r="BJ16" s="669"/>
      <c r="BK16" s="669" t="str">
        <f t="shared" si="7"/>
        <v>N/A</v>
      </c>
      <c r="BL16" s="669"/>
      <c r="BM16" s="669" t="str">
        <f t="shared" si="8"/>
        <v>N/A</v>
      </c>
      <c r="BN16" s="669"/>
      <c r="BO16" s="669" t="str">
        <f t="shared" si="9"/>
        <v>N/A</v>
      </c>
      <c r="BP16" s="669"/>
      <c r="BQ16" s="669" t="str">
        <f t="shared" si="10"/>
        <v>N/A</v>
      </c>
      <c r="BR16" s="669"/>
      <c r="BS16" s="669" t="str">
        <f t="shared" si="11"/>
        <v>N/A</v>
      </c>
      <c r="BT16" s="669"/>
      <c r="BU16" s="669" t="str">
        <f t="shared" si="12"/>
        <v>N/A</v>
      </c>
      <c r="BV16" s="669"/>
      <c r="BW16" s="669" t="str">
        <f t="shared" si="13"/>
        <v>N/A</v>
      </c>
      <c r="BX16" s="669"/>
      <c r="BY16" s="669" t="str">
        <f t="shared" si="14"/>
        <v>N/A</v>
      </c>
      <c r="BZ16" s="669"/>
      <c r="CA16" s="669" t="str">
        <f t="shared" si="15"/>
        <v>N/A</v>
      </c>
      <c r="CB16" s="669"/>
      <c r="CC16" s="669" t="str">
        <f t="shared" si="16"/>
        <v>N/A</v>
      </c>
      <c r="CD16" s="669"/>
      <c r="CE16" s="669" t="str">
        <f t="shared" si="17"/>
        <v>N/A</v>
      </c>
      <c r="CF16" s="669"/>
      <c r="CG16" s="669" t="str">
        <f t="shared" si="18"/>
        <v>N/A</v>
      </c>
      <c r="CH16" s="669"/>
      <c r="CI16" s="669" t="str">
        <f t="shared" si="19"/>
        <v>N/A</v>
      </c>
      <c r="CJ16" s="669"/>
      <c r="CK16" s="669" t="str">
        <f t="shared" si="20"/>
        <v>N/A</v>
      </c>
      <c r="CL16" s="669"/>
      <c r="CM16" s="669" t="str">
        <f t="shared" si="2"/>
        <v>N/A</v>
      </c>
      <c r="CN16" s="669"/>
      <c r="CO16" s="669" t="str">
        <f t="shared" si="3"/>
        <v>N/A</v>
      </c>
      <c r="CP16" s="669"/>
      <c r="CQ16" s="669" t="str">
        <f t="shared" si="4"/>
        <v>N/A</v>
      </c>
      <c r="CR16" s="669"/>
      <c r="CS16" s="669" t="str">
        <f t="shared" si="5"/>
        <v>N/A</v>
      </c>
      <c r="CT16" s="669"/>
    </row>
    <row r="17" spans="2:98" ht="20.25" customHeight="1">
      <c r="B17" s="254">
        <v>82</v>
      </c>
      <c r="C17" s="384">
        <v>9</v>
      </c>
      <c r="D17" s="636" t="s">
        <v>618</v>
      </c>
      <c r="E17" s="386" t="s">
        <v>327</v>
      </c>
      <c r="F17" s="555"/>
      <c r="G17" s="580"/>
      <c r="H17" s="555"/>
      <c r="I17" s="580"/>
      <c r="J17" s="555"/>
      <c r="K17" s="580"/>
      <c r="L17" s="555"/>
      <c r="M17" s="580"/>
      <c r="N17" s="555"/>
      <c r="O17" s="580"/>
      <c r="P17" s="555"/>
      <c r="Q17" s="580"/>
      <c r="R17" s="555"/>
      <c r="S17" s="580"/>
      <c r="T17" s="555"/>
      <c r="U17" s="580"/>
      <c r="V17" s="555"/>
      <c r="W17" s="580"/>
      <c r="X17" s="555"/>
      <c r="Y17" s="580"/>
      <c r="Z17" s="555"/>
      <c r="AA17" s="580"/>
      <c r="AB17" s="555"/>
      <c r="AC17" s="580"/>
      <c r="AD17" s="555"/>
      <c r="AE17" s="580"/>
      <c r="AF17" s="555"/>
      <c r="AG17" s="580"/>
      <c r="AH17" s="555"/>
      <c r="AI17" s="580"/>
      <c r="AJ17" s="555"/>
      <c r="AK17" s="580"/>
      <c r="AL17" s="555"/>
      <c r="AM17" s="580"/>
      <c r="AN17" s="555"/>
      <c r="AO17" s="580"/>
      <c r="AP17" s="555"/>
      <c r="AQ17" s="580"/>
      <c r="AR17" s="555"/>
      <c r="AS17" s="580"/>
      <c r="AT17" s="555"/>
      <c r="AU17" s="580"/>
      <c r="AV17" s="555"/>
      <c r="AW17" s="580"/>
      <c r="AZ17" s="738">
        <v>9</v>
      </c>
      <c r="BA17" s="770" t="s">
        <v>658</v>
      </c>
      <c r="BB17" s="740" t="s">
        <v>656</v>
      </c>
      <c r="BC17" s="667" t="s">
        <v>249</v>
      </c>
      <c r="BD17" s="670"/>
      <c r="BE17" s="666" t="str">
        <f t="shared" si="0"/>
        <v>N/A</v>
      </c>
      <c r="BF17" s="670"/>
      <c r="BG17" s="669" t="str">
        <f t="shared" si="1"/>
        <v>N/A</v>
      </c>
      <c r="BH17" s="669"/>
      <c r="BI17" s="669" t="str">
        <f t="shared" si="6"/>
        <v>N/A</v>
      </c>
      <c r="BJ17" s="669"/>
      <c r="BK17" s="669" t="str">
        <f t="shared" si="7"/>
        <v>N/A</v>
      </c>
      <c r="BL17" s="669"/>
      <c r="BM17" s="669" t="str">
        <f t="shared" si="8"/>
        <v>N/A</v>
      </c>
      <c r="BN17" s="669"/>
      <c r="BO17" s="669" t="str">
        <f t="shared" si="9"/>
        <v>N/A</v>
      </c>
      <c r="BP17" s="669"/>
      <c r="BQ17" s="669" t="str">
        <f t="shared" si="10"/>
        <v>N/A</v>
      </c>
      <c r="BR17" s="669"/>
      <c r="BS17" s="669" t="str">
        <f t="shared" si="11"/>
        <v>N/A</v>
      </c>
      <c r="BT17" s="669"/>
      <c r="BU17" s="669" t="str">
        <f t="shared" si="12"/>
        <v>N/A</v>
      </c>
      <c r="BV17" s="669"/>
      <c r="BW17" s="669" t="str">
        <f t="shared" si="13"/>
        <v>N/A</v>
      </c>
      <c r="BX17" s="669"/>
      <c r="BY17" s="669" t="str">
        <f t="shared" si="14"/>
        <v>N/A</v>
      </c>
      <c r="BZ17" s="669"/>
      <c r="CA17" s="669" t="str">
        <f t="shared" si="15"/>
        <v>N/A</v>
      </c>
      <c r="CB17" s="669"/>
      <c r="CC17" s="669" t="str">
        <f t="shared" si="16"/>
        <v>N/A</v>
      </c>
      <c r="CD17" s="669"/>
      <c r="CE17" s="669" t="str">
        <f t="shared" si="17"/>
        <v>N/A</v>
      </c>
      <c r="CF17" s="669"/>
      <c r="CG17" s="669" t="str">
        <f t="shared" si="18"/>
        <v>N/A</v>
      </c>
      <c r="CH17" s="669"/>
      <c r="CI17" s="669" t="str">
        <f t="shared" si="19"/>
        <v>N/A</v>
      </c>
      <c r="CJ17" s="669"/>
      <c r="CK17" s="669" t="str">
        <f t="shared" si="20"/>
        <v>N/A</v>
      </c>
      <c r="CL17" s="669"/>
      <c r="CM17" s="669" t="str">
        <f t="shared" si="2"/>
        <v>N/A</v>
      </c>
      <c r="CN17" s="669"/>
      <c r="CO17" s="669" t="str">
        <f t="shared" si="3"/>
        <v>N/A</v>
      </c>
      <c r="CP17" s="669"/>
      <c r="CQ17" s="669" t="str">
        <f t="shared" si="4"/>
        <v>N/A</v>
      </c>
      <c r="CR17" s="669"/>
      <c r="CS17" s="669" t="str">
        <f t="shared" si="5"/>
        <v>N/A</v>
      </c>
      <c r="CT17" s="669"/>
    </row>
    <row r="18" spans="2:98" ht="20.25" customHeight="1">
      <c r="B18" s="254">
        <v>46</v>
      </c>
      <c r="C18" s="384">
        <v>10</v>
      </c>
      <c r="D18" s="463" t="s">
        <v>619</v>
      </c>
      <c r="E18" s="386" t="s">
        <v>327</v>
      </c>
      <c r="F18" s="565"/>
      <c r="G18" s="582"/>
      <c r="H18" s="565"/>
      <c r="I18" s="582"/>
      <c r="J18" s="565"/>
      <c r="K18" s="582"/>
      <c r="L18" s="565"/>
      <c r="M18" s="582"/>
      <c r="N18" s="565"/>
      <c r="O18" s="582"/>
      <c r="P18" s="565"/>
      <c r="Q18" s="582"/>
      <c r="R18" s="565"/>
      <c r="S18" s="582"/>
      <c r="T18" s="565"/>
      <c r="U18" s="582"/>
      <c r="V18" s="565"/>
      <c r="W18" s="582"/>
      <c r="X18" s="565"/>
      <c r="Y18" s="582"/>
      <c r="Z18" s="565"/>
      <c r="AA18" s="582"/>
      <c r="AB18" s="565"/>
      <c r="AC18" s="582"/>
      <c r="AD18" s="565"/>
      <c r="AE18" s="582"/>
      <c r="AF18" s="565"/>
      <c r="AG18" s="582"/>
      <c r="AH18" s="565"/>
      <c r="AI18" s="582"/>
      <c r="AJ18" s="565"/>
      <c r="AK18" s="582"/>
      <c r="AL18" s="565"/>
      <c r="AM18" s="582"/>
      <c r="AN18" s="565"/>
      <c r="AO18" s="582"/>
      <c r="AP18" s="565"/>
      <c r="AQ18" s="582"/>
      <c r="AR18" s="565"/>
      <c r="AS18" s="582"/>
      <c r="AT18" s="565"/>
      <c r="AU18" s="582"/>
      <c r="AV18" s="565"/>
      <c r="AW18" s="582"/>
      <c r="AZ18" s="738">
        <v>10</v>
      </c>
      <c r="BA18" s="746" t="s">
        <v>629</v>
      </c>
      <c r="BB18" s="740" t="s">
        <v>656</v>
      </c>
      <c r="BC18" s="703"/>
      <c r="BD18" s="672"/>
      <c r="BE18" s="666" t="str">
        <f t="shared" si="0"/>
        <v>N/A</v>
      </c>
      <c r="BF18" s="670"/>
      <c r="BG18" s="669" t="str">
        <f t="shared" si="1"/>
        <v>N/A</v>
      </c>
      <c r="BH18" s="669"/>
      <c r="BI18" s="669" t="str">
        <f t="shared" si="6"/>
        <v>N/A</v>
      </c>
      <c r="BJ18" s="669"/>
      <c r="BK18" s="669" t="str">
        <f t="shared" si="7"/>
        <v>N/A</v>
      </c>
      <c r="BL18" s="669"/>
      <c r="BM18" s="669" t="str">
        <f t="shared" si="8"/>
        <v>N/A</v>
      </c>
      <c r="BN18" s="669"/>
      <c r="BO18" s="669" t="str">
        <f t="shared" si="9"/>
        <v>N/A</v>
      </c>
      <c r="BP18" s="669"/>
      <c r="BQ18" s="669" t="str">
        <f t="shared" si="10"/>
        <v>N/A</v>
      </c>
      <c r="BR18" s="669"/>
      <c r="BS18" s="669" t="str">
        <f t="shared" si="11"/>
        <v>N/A</v>
      </c>
      <c r="BT18" s="669"/>
      <c r="BU18" s="669" t="str">
        <f t="shared" si="12"/>
        <v>N/A</v>
      </c>
      <c r="BV18" s="669"/>
      <c r="BW18" s="669" t="str">
        <f t="shared" si="13"/>
        <v>N/A</v>
      </c>
      <c r="BX18" s="669"/>
      <c r="BY18" s="669" t="str">
        <f t="shared" si="14"/>
        <v>N/A</v>
      </c>
      <c r="BZ18" s="669"/>
      <c r="CA18" s="669" t="str">
        <f t="shared" si="15"/>
        <v>N/A</v>
      </c>
      <c r="CB18" s="669"/>
      <c r="CC18" s="669" t="str">
        <f t="shared" si="16"/>
        <v>N/A</v>
      </c>
      <c r="CD18" s="669"/>
      <c r="CE18" s="669" t="str">
        <f t="shared" si="17"/>
        <v>N/A</v>
      </c>
      <c r="CF18" s="669"/>
      <c r="CG18" s="669" t="str">
        <f t="shared" si="18"/>
        <v>N/A</v>
      </c>
      <c r="CH18" s="669"/>
      <c r="CI18" s="669" t="str">
        <f t="shared" si="19"/>
        <v>N/A</v>
      </c>
      <c r="CJ18" s="669"/>
      <c r="CK18" s="669" t="str">
        <f t="shared" si="20"/>
        <v>N/A</v>
      </c>
      <c r="CL18" s="669"/>
      <c r="CM18" s="669" t="str">
        <f t="shared" si="2"/>
        <v>N/A</v>
      </c>
      <c r="CN18" s="669"/>
      <c r="CO18" s="669" t="str">
        <f t="shared" si="3"/>
        <v>N/A</v>
      </c>
      <c r="CP18" s="669"/>
      <c r="CQ18" s="669" t="str">
        <f t="shared" si="4"/>
        <v>N/A</v>
      </c>
      <c r="CR18" s="669"/>
      <c r="CS18" s="669" t="str">
        <f t="shared" si="5"/>
        <v>N/A</v>
      </c>
      <c r="CT18" s="669"/>
    </row>
    <row r="19" spans="2:98" ht="20.25" customHeight="1">
      <c r="B19" s="254">
        <v>48</v>
      </c>
      <c r="C19" s="389">
        <v>11</v>
      </c>
      <c r="D19" s="467" t="s">
        <v>421</v>
      </c>
      <c r="E19" s="386" t="s">
        <v>327</v>
      </c>
      <c r="F19" s="565"/>
      <c r="G19" s="582"/>
      <c r="H19" s="565"/>
      <c r="I19" s="582"/>
      <c r="J19" s="565"/>
      <c r="K19" s="582"/>
      <c r="L19" s="565"/>
      <c r="M19" s="582"/>
      <c r="N19" s="565"/>
      <c r="O19" s="582"/>
      <c r="P19" s="565"/>
      <c r="Q19" s="582"/>
      <c r="R19" s="565"/>
      <c r="S19" s="582"/>
      <c r="T19" s="565"/>
      <c r="U19" s="582"/>
      <c r="V19" s="565"/>
      <c r="W19" s="582"/>
      <c r="X19" s="565"/>
      <c r="Y19" s="582"/>
      <c r="Z19" s="565"/>
      <c r="AA19" s="582"/>
      <c r="AB19" s="565"/>
      <c r="AC19" s="582"/>
      <c r="AD19" s="565"/>
      <c r="AE19" s="582"/>
      <c r="AF19" s="565"/>
      <c r="AG19" s="582"/>
      <c r="AH19" s="565"/>
      <c r="AI19" s="582"/>
      <c r="AJ19" s="565"/>
      <c r="AK19" s="582"/>
      <c r="AL19" s="565"/>
      <c r="AM19" s="582"/>
      <c r="AN19" s="565"/>
      <c r="AO19" s="582"/>
      <c r="AP19" s="565"/>
      <c r="AQ19" s="582"/>
      <c r="AR19" s="565"/>
      <c r="AS19" s="582"/>
      <c r="AT19" s="565"/>
      <c r="AU19" s="582"/>
      <c r="AV19" s="565"/>
      <c r="AW19" s="582"/>
      <c r="AZ19" s="740">
        <v>11</v>
      </c>
      <c r="BA19" s="771" t="s">
        <v>24</v>
      </c>
      <c r="BB19" s="740" t="s">
        <v>656</v>
      </c>
      <c r="BC19" s="703" t="s">
        <v>249</v>
      </c>
      <c r="BD19" s="672"/>
      <c r="BE19" s="666" t="str">
        <f t="shared" si="0"/>
        <v>N/A</v>
      </c>
      <c r="BF19" s="670"/>
      <c r="BG19" s="669" t="str">
        <f t="shared" si="1"/>
        <v>N/A</v>
      </c>
      <c r="BH19" s="669"/>
      <c r="BI19" s="669" t="str">
        <f t="shared" si="6"/>
        <v>N/A</v>
      </c>
      <c r="BJ19" s="669"/>
      <c r="BK19" s="669" t="str">
        <f t="shared" si="7"/>
        <v>N/A</v>
      </c>
      <c r="BL19" s="669"/>
      <c r="BM19" s="669" t="str">
        <f t="shared" si="8"/>
        <v>N/A</v>
      </c>
      <c r="BN19" s="669"/>
      <c r="BO19" s="669" t="str">
        <f t="shared" si="9"/>
        <v>N/A</v>
      </c>
      <c r="BP19" s="669"/>
      <c r="BQ19" s="669" t="str">
        <f t="shared" si="10"/>
        <v>N/A</v>
      </c>
      <c r="BR19" s="669"/>
      <c r="BS19" s="669" t="str">
        <f t="shared" si="11"/>
        <v>N/A</v>
      </c>
      <c r="BT19" s="669"/>
      <c r="BU19" s="669" t="str">
        <f t="shared" si="12"/>
        <v>N/A</v>
      </c>
      <c r="BV19" s="669"/>
      <c r="BW19" s="669" t="str">
        <f t="shared" si="13"/>
        <v>N/A</v>
      </c>
      <c r="BX19" s="669"/>
      <c r="BY19" s="669" t="str">
        <f t="shared" si="14"/>
        <v>N/A</v>
      </c>
      <c r="BZ19" s="669"/>
      <c r="CA19" s="669" t="str">
        <f t="shared" si="15"/>
        <v>N/A</v>
      </c>
      <c r="CB19" s="669"/>
      <c r="CC19" s="669" t="str">
        <f t="shared" si="16"/>
        <v>N/A</v>
      </c>
      <c r="CD19" s="669"/>
      <c r="CE19" s="669" t="str">
        <f t="shared" si="17"/>
        <v>N/A</v>
      </c>
      <c r="CF19" s="669"/>
      <c r="CG19" s="669" t="str">
        <f t="shared" si="18"/>
        <v>N/A</v>
      </c>
      <c r="CH19" s="669"/>
      <c r="CI19" s="669" t="str">
        <f t="shared" si="19"/>
        <v>N/A</v>
      </c>
      <c r="CJ19" s="669"/>
      <c r="CK19" s="669" t="str">
        <f t="shared" si="20"/>
        <v>N/A</v>
      </c>
      <c r="CL19" s="669"/>
      <c r="CM19" s="669" t="str">
        <f t="shared" si="2"/>
        <v>N/A</v>
      </c>
      <c r="CN19" s="669"/>
      <c r="CO19" s="669" t="str">
        <f t="shared" si="3"/>
        <v>N/A</v>
      </c>
      <c r="CP19" s="669"/>
      <c r="CQ19" s="669" t="str">
        <f t="shared" si="4"/>
        <v>N/A</v>
      </c>
      <c r="CR19" s="669"/>
      <c r="CS19" s="669" t="str">
        <f t="shared" si="5"/>
        <v>N/A</v>
      </c>
      <c r="CT19" s="669"/>
    </row>
    <row r="20" spans="2:98" ht="12.75" customHeight="1">
      <c r="B20" s="196">
        <v>5009</v>
      </c>
      <c r="C20" s="616"/>
      <c r="D20" s="768" t="s">
        <v>358</v>
      </c>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Z20" s="772"/>
      <c r="BA20" s="776" t="s">
        <v>193</v>
      </c>
      <c r="BB20" s="772"/>
      <c r="BC20" s="703" t="s">
        <v>249</v>
      </c>
      <c r="BD20" s="672"/>
      <c r="BE20" s="666"/>
      <c r="BF20" s="670"/>
      <c r="BG20" s="669"/>
      <c r="BH20" s="669"/>
      <c r="BI20" s="704"/>
      <c r="BJ20" s="672"/>
      <c r="BK20" s="703"/>
      <c r="BL20" s="672"/>
      <c r="BM20" s="703"/>
      <c r="BN20" s="672"/>
      <c r="BO20" s="703"/>
      <c r="BP20" s="672"/>
      <c r="BQ20" s="703"/>
      <c r="BR20" s="672"/>
      <c r="BS20" s="703"/>
      <c r="BT20" s="672"/>
      <c r="BU20" s="703"/>
      <c r="BV20" s="672"/>
      <c r="BW20" s="704"/>
      <c r="BX20" s="672"/>
      <c r="BY20" s="703"/>
      <c r="BZ20" s="672"/>
      <c r="CA20" s="703"/>
      <c r="CB20" s="672"/>
      <c r="CC20" s="703"/>
      <c r="CD20" s="672"/>
      <c r="CE20" s="669"/>
      <c r="CF20" s="672"/>
      <c r="CG20" s="703"/>
      <c r="CH20" s="672"/>
      <c r="CI20" s="703"/>
      <c r="CJ20" s="672"/>
      <c r="CK20" s="703"/>
      <c r="CL20" s="672"/>
      <c r="CM20" s="669"/>
      <c r="CN20" s="672"/>
      <c r="CO20" s="669"/>
      <c r="CP20" s="669"/>
      <c r="CQ20" s="669"/>
      <c r="CR20" s="669"/>
      <c r="CS20" s="669"/>
      <c r="CT20" s="669"/>
    </row>
    <row r="21" spans="1:98" s="469" customFormat="1" ht="30.75" customHeight="1">
      <c r="A21" s="403"/>
      <c r="B21" s="254">
        <v>277</v>
      </c>
      <c r="C21" s="393">
        <v>12</v>
      </c>
      <c r="D21" s="457" t="s">
        <v>356</v>
      </c>
      <c r="E21" s="468" t="s">
        <v>521</v>
      </c>
      <c r="F21" s="555"/>
      <c r="G21" s="580"/>
      <c r="H21" s="555"/>
      <c r="I21" s="580"/>
      <c r="J21" s="555">
        <v>93.8000030517578</v>
      </c>
      <c r="K21" s="580"/>
      <c r="L21" s="555">
        <v>91.9000015258789</v>
      </c>
      <c r="M21" s="580"/>
      <c r="N21" s="555">
        <v>97.9000015258789</v>
      </c>
      <c r="O21" s="580" t="s">
        <v>715</v>
      </c>
      <c r="P21" s="555">
        <v>95.9000015258789</v>
      </c>
      <c r="Q21" s="580" t="s">
        <v>715</v>
      </c>
      <c r="R21" s="555"/>
      <c r="S21" s="580"/>
      <c r="T21" s="555"/>
      <c r="U21" s="580"/>
      <c r="V21" s="555">
        <v>94.0999984741211</v>
      </c>
      <c r="W21" s="580" t="s">
        <v>715</v>
      </c>
      <c r="X21" s="555">
        <v>94.0999984741211</v>
      </c>
      <c r="Y21" s="580" t="s">
        <v>715</v>
      </c>
      <c r="Z21" s="555"/>
      <c r="AA21" s="580"/>
      <c r="AB21" s="555">
        <v>93.8000030517578</v>
      </c>
      <c r="AC21" s="580" t="s">
        <v>715</v>
      </c>
      <c r="AD21" s="555">
        <v>96.5999984741211</v>
      </c>
      <c r="AE21" s="580" t="s">
        <v>715</v>
      </c>
      <c r="AF21" s="555">
        <v>97.5</v>
      </c>
      <c r="AG21" s="580" t="s">
        <v>715</v>
      </c>
      <c r="AH21" s="555"/>
      <c r="AI21" s="580"/>
      <c r="AJ21" s="555">
        <v>94.9000015258789</v>
      </c>
      <c r="AK21" s="580" t="s">
        <v>717</v>
      </c>
      <c r="AL21" s="555"/>
      <c r="AM21" s="580"/>
      <c r="AN21" s="555"/>
      <c r="AO21" s="580"/>
      <c r="AP21" s="555"/>
      <c r="AQ21" s="580"/>
      <c r="AR21" s="555"/>
      <c r="AS21" s="580"/>
      <c r="AT21" s="555"/>
      <c r="AU21" s="580"/>
      <c r="AV21" s="555"/>
      <c r="AW21" s="580"/>
      <c r="AY21" s="402"/>
      <c r="AZ21" s="741">
        <v>12</v>
      </c>
      <c r="BA21" s="769" t="s">
        <v>211</v>
      </c>
      <c r="BB21" s="740" t="s">
        <v>521</v>
      </c>
      <c r="BC21" s="667" t="s">
        <v>249</v>
      </c>
      <c r="BD21" s="670"/>
      <c r="BE21" s="666" t="str">
        <f>IF(OR(ISBLANK(F21),ISBLANK(H21)),"N/A",IF(ABS((H21-F21)/F21)&gt;0.25,"&gt; 25%","ok"))</f>
        <v>N/A</v>
      </c>
      <c r="BF21" s="670"/>
      <c r="BG21" s="669" t="str">
        <f>IF(OR(ISBLANK(H21),ISBLANK(J21)),"N/A",IF(ABS((J21-H21)/H21)&gt;0.25,"&gt; 25%","ok"))</f>
        <v>N/A</v>
      </c>
      <c r="BH21" s="669"/>
      <c r="BI21" s="669" t="str">
        <f>IF(OR(ISBLANK(J21),ISBLANK(L21)),"N/A",IF(ABS(L21-J21)&gt;25,"&gt; 25%","ok"))</f>
        <v>ok</v>
      </c>
      <c r="BJ21" s="669"/>
      <c r="BK21" s="669" t="str">
        <f>IF(OR(ISBLANK(L21),ISBLANK(N21)),"N/A",IF(ABS(N21-L21)&gt;25,"&gt; 25%","ok"))</f>
        <v>ok</v>
      </c>
      <c r="BL21" s="669"/>
      <c r="BM21" s="669" t="str">
        <f>IF(OR(ISBLANK(N21),ISBLANK(P21)),"N/A",IF(ABS(P21-N21)&gt;25,"&gt; 25%","ok"))</f>
        <v>ok</v>
      </c>
      <c r="BN21" s="669"/>
      <c r="BO21" s="669" t="str">
        <f>IF(OR(ISBLANK(P21),ISBLANK(R21)),"N/A",IF(ABS(R21-P21)&gt;25,"&gt; 25%","ok"))</f>
        <v>N/A</v>
      </c>
      <c r="BP21" s="669"/>
      <c r="BQ21" s="669" t="str">
        <f>IF(OR(ISBLANK(R21),ISBLANK(T21)),"N/A",IF(ABS(T21-R21)&gt;25,"&gt; 25%","ok"))</f>
        <v>N/A</v>
      </c>
      <c r="BR21" s="669"/>
      <c r="BS21" s="669" t="str">
        <f>IF(OR(ISBLANK(T21),ISBLANK(V21)),"N/A",IF(ABS(V21-T21)&gt;25,"&gt; 25%","ok"))</f>
        <v>N/A</v>
      </c>
      <c r="BT21" s="669"/>
      <c r="BU21" s="669" t="str">
        <f>IF(OR(ISBLANK(V21),ISBLANK(X21)),"N/A",IF(ABS(X21-V21)&gt;25,"&gt; 25%","ok"))</f>
        <v>ok</v>
      </c>
      <c r="BV21" s="669"/>
      <c r="BW21" s="669" t="str">
        <f>IF(OR(ISBLANK(X21),ISBLANK(Z21)),"N/A",IF(ABS(Z21-X21)&gt;25,"&gt; 25%","ok"))</f>
        <v>N/A</v>
      </c>
      <c r="BX21" s="669"/>
      <c r="BY21" s="669" t="str">
        <f>IF(OR(ISBLANK(Z21),ISBLANK(AB21)),"N/A",IF(ABS(AB21-Z21)&gt;25,"&gt; 25%","ok"))</f>
        <v>N/A</v>
      </c>
      <c r="BZ21" s="669"/>
      <c r="CA21" s="669" t="str">
        <f>IF(OR(ISBLANK(AB21),ISBLANK(AD21)),"N/A",IF(ABS(AD21-AB21)&gt;25,"&gt; 25%","ok"))</f>
        <v>ok</v>
      </c>
      <c r="CB21" s="669"/>
      <c r="CC21" s="669" t="str">
        <f>IF(OR(ISBLANK(AD21),ISBLANK(AF21)),"N/A",IF(ABS(AF21-AD21)&gt;25,"&gt; 25%","ok"))</f>
        <v>ok</v>
      </c>
      <c r="CD21" s="669"/>
      <c r="CE21" s="669" t="str">
        <f>IF(OR(ISBLANK(AF21),ISBLANK(AH21)),"N/A",IF(ABS((AH21-AF21)/AF21)&gt;0.25,"&gt; 25%","ok"))</f>
        <v>N/A</v>
      </c>
      <c r="CF21" s="670"/>
      <c r="CG21" s="669" t="str">
        <f>IF(OR(ISBLANK(AH21),ISBLANK(AJ21)),"N/A",IF(ABS(AJ21-AH21)&gt;25,"&gt; 25%","ok"))</f>
        <v>N/A</v>
      </c>
      <c r="CH21" s="669"/>
      <c r="CI21" s="669" t="str">
        <f>IF(OR(ISBLANK(AJ21),ISBLANK(AL21)),"N/A",IF(ABS(AL21-AJ21)&gt;25,"&gt; 25%","ok"))</f>
        <v>N/A</v>
      </c>
      <c r="CJ21" s="669"/>
      <c r="CK21" s="669" t="str">
        <f>IF(OR(ISBLANK(AL21),ISBLANK(AN21)),"N/A",IF(ABS(AN21-AL21)&gt;25,"&gt; 25%","ok"))</f>
        <v>N/A</v>
      </c>
      <c r="CL21" s="669"/>
      <c r="CM21" s="669" t="str">
        <f t="shared" si="2"/>
        <v>N/A</v>
      </c>
      <c r="CN21" s="669"/>
      <c r="CO21" s="669" t="str">
        <f t="shared" si="3"/>
        <v>N/A</v>
      </c>
      <c r="CP21" s="669"/>
      <c r="CQ21" s="669" t="str">
        <f t="shared" si="4"/>
        <v>N/A</v>
      </c>
      <c r="CR21" s="669"/>
      <c r="CS21" s="669" t="str">
        <f t="shared" si="5"/>
        <v>N/A</v>
      </c>
      <c r="CT21" s="669"/>
    </row>
    <row r="22" spans="1:98" s="469" customFormat="1" ht="30.75" customHeight="1">
      <c r="A22" s="403"/>
      <c r="B22" s="254">
        <v>261</v>
      </c>
      <c r="C22" s="389">
        <v>13</v>
      </c>
      <c r="D22" s="470" t="s">
        <v>436</v>
      </c>
      <c r="E22" s="468" t="s">
        <v>521</v>
      </c>
      <c r="F22" s="555"/>
      <c r="G22" s="580"/>
      <c r="H22" s="555"/>
      <c r="I22" s="580"/>
      <c r="J22" s="555"/>
      <c r="K22" s="580"/>
      <c r="L22" s="555"/>
      <c r="M22" s="580"/>
      <c r="N22" s="555"/>
      <c r="O22" s="580"/>
      <c r="P22" s="555">
        <v>97.4000015258789</v>
      </c>
      <c r="Q22" s="580" t="s">
        <v>715</v>
      </c>
      <c r="R22" s="555"/>
      <c r="S22" s="580"/>
      <c r="T22" s="555"/>
      <c r="U22" s="580"/>
      <c r="V22" s="555">
        <v>96.0999984741211</v>
      </c>
      <c r="W22" s="580" t="s">
        <v>715</v>
      </c>
      <c r="X22" s="555"/>
      <c r="Y22" s="580"/>
      <c r="Z22" s="555"/>
      <c r="AA22" s="580"/>
      <c r="AB22" s="555"/>
      <c r="AC22" s="580"/>
      <c r="AD22" s="555">
        <v>97.3000030517578</v>
      </c>
      <c r="AE22" s="580" t="s">
        <v>715</v>
      </c>
      <c r="AF22" s="555">
        <v>97.9000015258789</v>
      </c>
      <c r="AG22" s="580" t="s">
        <v>715</v>
      </c>
      <c r="AH22" s="555"/>
      <c r="AI22" s="580"/>
      <c r="AJ22" s="555">
        <v>94.9000015258789</v>
      </c>
      <c r="AK22" s="580" t="s">
        <v>717</v>
      </c>
      <c r="AL22" s="555"/>
      <c r="AM22" s="580"/>
      <c r="AN22" s="555"/>
      <c r="AO22" s="580"/>
      <c r="AP22" s="555"/>
      <c r="AQ22" s="580"/>
      <c r="AR22" s="555"/>
      <c r="AS22" s="580"/>
      <c r="AT22" s="555"/>
      <c r="AU22" s="580"/>
      <c r="AV22" s="555"/>
      <c r="AW22" s="580"/>
      <c r="AY22" s="402"/>
      <c r="AZ22" s="740">
        <v>13</v>
      </c>
      <c r="BA22" s="752" t="s">
        <v>195</v>
      </c>
      <c r="BB22" s="740" t="s">
        <v>521</v>
      </c>
      <c r="BC22" s="667" t="s">
        <v>249</v>
      </c>
      <c r="BD22" s="670"/>
      <c r="BE22" s="666" t="str">
        <f>IF(OR(ISBLANK(F22),ISBLANK(H22)),"N/A",IF(ABS((H22-F22)/F22)&gt;0.25,"&gt; 25%","ok"))</f>
        <v>N/A</v>
      </c>
      <c r="BF22" s="670"/>
      <c r="BG22" s="669" t="str">
        <f>IF(OR(ISBLANK(H22),ISBLANK(J22)),"N/A",IF(ABS((J22-H22)/H22)&gt;0.25,"&gt; 25%","ok"))</f>
        <v>N/A</v>
      </c>
      <c r="BH22" s="669"/>
      <c r="BI22" s="669" t="str">
        <f>IF(OR(ISBLANK(J22),ISBLANK(L22)),"N/A",IF(ABS(L22-J22)&gt;25,"&gt; 25%","ok"))</f>
        <v>N/A</v>
      </c>
      <c r="BJ22" s="669"/>
      <c r="BK22" s="669" t="str">
        <f>IF(OR(ISBLANK(L22),ISBLANK(N22)),"N/A",IF(ABS(N22-L22)&gt;25,"&gt; 25%","ok"))</f>
        <v>N/A</v>
      </c>
      <c r="BL22" s="669"/>
      <c r="BM22" s="669" t="str">
        <f>IF(OR(ISBLANK(N22),ISBLANK(P22)),"N/A",IF(ABS(P22-N22)&gt;25,"&gt; 25%","ok"))</f>
        <v>N/A</v>
      </c>
      <c r="BN22" s="669"/>
      <c r="BO22" s="669" t="str">
        <f>IF(OR(ISBLANK(P22),ISBLANK(R22)),"N/A",IF(ABS(R22-P22)&gt;25,"&gt; 25%","ok"))</f>
        <v>N/A</v>
      </c>
      <c r="BP22" s="669"/>
      <c r="BQ22" s="669" t="str">
        <f>IF(OR(ISBLANK(R22),ISBLANK(T22)),"N/A",IF(ABS(T22-R22)&gt;25,"&gt; 25%","ok"))</f>
        <v>N/A</v>
      </c>
      <c r="BR22" s="669"/>
      <c r="BS22" s="669" t="str">
        <f>IF(OR(ISBLANK(T22),ISBLANK(V22)),"N/A",IF(ABS(V22-T22)&gt;25,"&gt; 25%","ok"))</f>
        <v>N/A</v>
      </c>
      <c r="BT22" s="669"/>
      <c r="BU22" s="669" t="str">
        <f>IF(OR(ISBLANK(V22),ISBLANK(X22)),"N/A",IF(ABS(X22-V22)&gt;25,"&gt; 25%","ok"))</f>
        <v>N/A</v>
      </c>
      <c r="BV22" s="669"/>
      <c r="BW22" s="669" t="str">
        <f>IF(OR(ISBLANK(X22),ISBLANK(Z22)),"N/A",IF(ABS(Z22-X22)&gt;25,"&gt; 25%","ok"))</f>
        <v>N/A</v>
      </c>
      <c r="BX22" s="669"/>
      <c r="BY22" s="669" t="str">
        <f>IF(OR(ISBLANK(Z22),ISBLANK(AB22)),"N/A",IF(ABS(AB22-Z22)&gt;25,"&gt; 25%","ok"))</f>
        <v>N/A</v>
      </c>
      <c r="BZ22" s="669"/>
      <c r="CA22" s="669" t="str">
        <f>IF(OR(ISBLANK(AB22),ISBLANK(AD22)),"N/A",IF(ABS(AD22-AB22)&gt;25,"&gt; 25%","ok"))</f>
        <v>N/A</v>
      </c>
      <c r="CB22" s="669"/>
      <c r="CC22" s="669" t="str">
        <f>IF(OR(ISBLANK(AD22),ISBLANK(AF22)),"N/A",IF(ABS(AF22-AD22)&gt;25,"&gt; 25%","ok"))</f>
        <v>ok</v>
      </c>
      <c r="CD22" s="669"/>
      <c r="CE22" s="669" t="str">
        <f>IF(OR(ISBLANK(AF22),ISBLANK(AH22)),"N/A",IF(ABS((AH22-AF22)/AF22)&gt;0.25,"&gt; 25%","ok"))</f>
        <v>N/A</v>
      </c>
      <c r="CF22" s="670"/>
      <c r="CG22" s="669" t="str">
        <f>IF(OR(ISBLANK(AH22),ISBLANK(AJ22)),"N/A",IF(ABS(AJ22-AH22)&gt;25,"&gt; 25%","ok"))</f>
        <v>N/A</v>
      </c>
      <c r="CH22" s="669"/>
      <c r="CI22" s="669" t="str">
        <f>IF(OR(ISBLANK(AJ22),ISBLANK(AL22)),"N/A",IF(ABS(AL22-AJ22)&gt;25,"&gt; 25%","ok"))</f>
        <v>N/A</v>
      </c>
      <c r="CJ22" s="669"/>
      <c r="CK22" s="669" t="str">
        <f>IF(OR(ISBLANK(AL22),ISBLANK(AN22)),"N/A",IF(ABS(AN22-AL22)&gt;25,"&gt; 25%","ok"))</f>
        <v>N/A</v>
      </c>
      <c r="CL22" s="669"/>
      <c r="CM22" s="669" t="str">
        <f>IF(OR(ISBLANK(AN22),ISBLANK(AP22)),"N/A",IF(ABS((AP22-AN22)/AN22)&gt;0.25,"&gt; 25%","ok"))</f>
        <v>N/A</v>
      </c>
      <c r="CN22" s="669"/>
      <c r="CO22" s="669" t="str">
        <f t="shared" si="3"/>
        <v>N/A</v>
      </c>
      <c r="CP22" s="669"/>
      <c r="CQ22" s="669" t="str">
        <f t="shared" si="4"/>
        <v>N/A</v>
      </c>
      <c r="CR22" s="669"/>
      <c r="CS22" s="669" t="str">
        <f t="shared" si="5"/>
        <v>N/A</v>
      </c>
      <c r="CT22" s="669"/>
    </row>
    <row r="23" spans="1:98" s="469" customFormat="1" ht="30.75" customHeight="1">
      <c r="A23" s="403"/>
      <c r="B23" s="254">
        <v>262</v>
      </c>
      <c r="C23" s="471">
        <v>14</v>
      </c>
      <c r="D23" s="281" t="s">
        <v>357</v>
      </c>
      <c r="E23" s="280" t="s">
        <v>521</v>
      </c>
      <c r="F23" s="566"/>
      <c r="G23" s="587"/>
      <c r="H23" s="566"/>
      <c r="I23" s="587"/>
      <c r="J23" s="566"/>
      <c r="K23" s="587"/>
      <c r="L23" s="566"/>
      <c r="M23" s="587"/>
      <c r="N23" s="566"/>
      <c r="O23" s="587"/>
      <c r="P23" s="566">
        <v>91</v>
      </c>
      <c r="Q23" s="587" t="s">
        <v>715</v>
      </c>
      <c r="R23" s="566"/>
      <c r="S23" s="587"/>
      <c r="T23" s="566"/>
      <c r="U23" s="587"/>
      <c r="V23" s="566">
        <v>90.3000030517578</v>
      </c>
      <c r="W23" s="587" t="s">
        <v>715</v>
      </c>
      <c r="X23" s="566"/>
      <c r="Y23" s="587"/>
      <c r="Z23" s="566"/>
      <c r="AA23" s="587"/>
      <c r="AB23" s="566"/>
      <c r="AC23" s="587"/>
      <c r="AD23" s="566">
        <v>93.1999969482422</v>
      </c>
      <c r="AE23" s="587" t="s">
        <v>715</v>
      </c>
      <c r="AF23" s="566">
        <v>96.5</v>
      </c>
      <c r="AG23" s="587" t="s">
        <v>715</v>
      </c>
      <c r="AH23" s="566"/>
      <c r="AI23" s="587"/>
      <c r="AJ23" s="566">
        <v>94.4000015258789</v>
      </c>
      <c r="AK23" s="587" t="s">
        <v>717</v>
      </c>
      <c r="AL23" s="566"/>
      <c r="AM23" s="587"/>
      <c r="AN23" s="566"/>
      <c r="AO23" s="587"/>
      <c r="AP23" s="566"/>
      <c r="AQ23" s="587"/>
      <c r="AR23" s="566"/>
      <c r="AS23" s="587"/>
      <c r="AT23" s="566"/>
      <c r="AU23" s="587"/>
      <c r="AV23" s="566"/>
      <c r="AW23" s="587"/>
      <c r="AY23" s="402"/>
      <c r="AZ23" s="773">
        <v>14</v>
      </c>
      <c r="BA23" s="774" t="s">
        <v>196</v>
      </c>
      <c r="BB23" s="773" t="s">
        <v>521</v>
      </c>
      <c r="BC23" s="677" t="s">
        <v>249</v>
      </c>
      <c r="BD23" s="680"/>
      <c r="BE23" s="679" t="str">
        <f>IF(OR(ISBLANK(F23),ISBLANK(H23)),"N/A",IF(ABS((H23-F23)/F23)&gt;0.25,"&gt; 25%","ok"))</f>
        <v>N/A</v>
      </c>
      <c r="BF23" s="679"/>
      <c r="BG23" s="679" t="str">
        <f>IF(OR(ISBLANK(H23),ISBLANK(J23)),"N/A",IF(ABS((J23-H23)/H23)&gt;0.25,"&gt; 25%","ok"))</f>
        <v>N/A</v>
      </c>
      <c r="BH23" s="679"/>
      <c r="BI23" s="679" t="str">
        <f>IF(OR(ISBLANK(J23),ISBLANK(L23)),"N/A",IF(ABS(L23-J23)&gt;25,"&gt; 25%","ok"))</f>
        <v>N/A</v>
      </c>
      <c r="BJ23" s="679"/>
      <c r="BK23" s="679" t="str">
        <f>IF(OR(ISBLANK(L23),ISBLANK(N23)),"N/A",IF(ABS(N23-L23)&gt;25,"&gt; 25%","ok"))</f>
        <v>N/A</v>
      </c>
      <c r="BL23" s="679"/>
      <c r="BM23" s="679" t="str">
        <f>IF(OR(ISBLANK(N23),ISBLANK(P23)),"N/A",IF(ABS(P23-N23)&gt;25,"&gt; 25%","ok"))</f>
        <v>N/A</v>
      </c>
      <c r="BN23" s="679"/>
      <c r="BO23" s="679" t="str">
        <f>IF(OR(ISBLANK(P23),ISBLANK(R23)),"N/A",IF(ABS(R23-P23)&gt;25,"&gt; 25%","ok"))</f>
        <v>N/A</v>
      </c>
      <c r="BP23" s="679"/>
      <c r="BQ23" s="679" t="str">
        <f>IF(OR(ISBLANK(R23),ISBLANK(T23)),"N/A",IF(ABS(T23-R23)&gt;25,"&gt; 25%","ok"))</f>
        <v>N/A</v>
      </c>
      <c r="BR23" s="679"/>
      <c r="BS23" s="679" t="str">
        <f>IF(OR(ISBLANK(T23),ISBLANK(V23)),"N/A",IF(ABS(V23-T23)&gt;25,"&gt; 25%","ok"))</f>
        <v>N/A</v>
      </c>
      <c r="BT23" s="679"/>
      <c r="BU23" s="679" t="str">
        <f>IF(OR(ISBLANK(V23),ISBLANK(X23)),"N/A",IF(ABS(X23-V23)&gt;25,"&gt; 25%","ok"))</f>
        <v>N/A</v>
      </c>
      <c r="BV23" s="679"/>
      <c r="BW23" s="679" t="str">
        <f>IF(OR(ISBLANK(X23),ISBLANK(Z23)),"N/A",IF(ABS(Z23-X23)&gt;25,"&gt; 25%","ok"))</f>
        <v>N/A</v>
      </c>
      <c r="BX23" s="679"/>
      <c r="BY23" s="679" t="str">
        <f>IF(OR(ISBLANK(Z23),ISBLANK(AB23)),"N/A",IF(ABS(AB23-Z23)&gt;25,"&gt; 25%","ok"))</f>
        <v>N/A</v>
      </c>
      <c r="BZ23" s="679"/>
      <c r="CA23" s="679" t="str">
        <f>IF(OR(ISBLANK(AB23),ISBLANK(AD23)),"N/A",IF(ABS(AD23-AB23)&gt;25,"&gt; 25%","ok"))</f>
        <v>N/A</v>
      </c>
      <c r="CB23" s="679"/>
      <c r="CC23" s="679" t="str">
        <f>IF(OR(ISBLANK(AD23),ISBLANK(AF23)),"N/A",IF(ABS(AF23-AD23)&gt;25,"&gt; 25%","ok"))</f>
        <v>ok</v>
      </c>
      <c r="CD23" s="679"/>
      <c r="CE23" s="679" t="str">
        <f>IF(OR(ISBLANK(AF23),ISBLANK(AH23)),"N/A",IF(ABS((AH23-AF23)/AF23)&gt;0.25,"&gt; 25%","ok"))</f>
        <v>N/A</v>
      </c>
      <c r="CF23" s="680"/>
      <c r="CG23" s="679" t="str">
        <f>IF(OR(ISBLANK(AH23),ISBLANK(AJ23)),"N/A",IF(ABS(AJ23-AH23)&gt;25,"&gt; 25%","ok"))</f>
        <v>N/A</v>
      </c>
      <c r="CH23" s="679"/>
      <c r="CI23" s="679" t="str">
        <f>IF(OR(ISBLANK(AJ23),ISBLANK(AL23)),"N/A",IF(ABS(AL23-AJ23)&gt;25,"&gt; 25%","ok"))</f>
        <v>N/A</v>
      </c>
      <c r="CJ23" s="679"/>
      <c r="CK23" s="679" t="str">
        <f>IF(OR(ISBLANK(AL23),ISBLANK(AN23)),"N/A",IF(ABS(AN23-AL23)&gt;25,"&gt; 25%","ok"))</f>
        <v>N/A</v>
      </c>
      <c r="CL23" s="679"/>
      <c r="CM23" s="679" t="str">
        <f t="shared" si="2"/>
        <v>N/A</v>
      </c>
      <c r="CN23" s="679"/>
      <c r="CO23" s="679" t="str">
        <f t="shared" si="3"/>
        <v>N/A</v>
      </c>
      <c r="CP23" s="679"/>
      <c r="CQ23" s="679" t="str">
        <f t="shared" si="4"/>
        <v>N/A</v>
      </c>
      <c r="CR23" s="679"/>
      <c r="CS23" s="679" t="str">
        <f t="shared" si="5"/>
        <v>N/A</v>
      </c>
      <c r="CT23" s="679"/>
    </row>
    <row r="24" spans="4:98" ht="12" customHeight="1" hidden="1">
      <c r="D24" s="285"/>
      <c r="AZ24" s="753" t="s">
        <v>647</v>
      </c>
      <c r="BA24" s="775"/>
      <c r="BB24" s="775"/>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row>
    <row r="25" spans="3:98" ht="15" customHeight="1" hidden="1">
      <c r="C25" s="369" t="s">
        <v>343</v>
      </c>
      <c r="D25" s="472"/>
      <c r="E25" s="473"/>
      <c r="F25" s="474"/>
      <c r="G25" s="474"/>
      <c r="AZ25" s="755" t="s">
        <v>16</v>
      </c>
      <c r="BA25" s="755" t="s">
        <v>17</v>
      </c>
      <c r="BB25" s="755" t="s">
        <v>18</v>
      </c>
      <c r="BC25" s="661">
        <v>2000</v>
      </c>
      <c r="BD25" s="661"/>
      <c r="BE25" s="661">
        <v>2001</v>
      </c>
      <c r="BF25" s="661"/>
      <c r="BG25" s="661">
        <v>2002</v>
      </c>
      <c r="BH25" s="661"/>
      <c r="BI25" s="661">
        <v>2003</v>
      </c>
      <c r="BJ25" s="661"/>
      <c r="BK25" s="661">
        <v>2004</v>
      </c>
      <c r="BL25" s="661"/>
      <c r="BM25" s="661">
        <v>2005</v>
      </c>
      <c r="BN25" s="661"/>
      <c r="BO25" s="661">
        <v>2006</v>
      </c>
      <c r="BP25" s="661"/>
      <c r="BQ25" s="661">
        <v>2007</v>
      </c>
      <c r="BR25" s="661"/>
      <c r="BS25" s="661">
        <v>2008</v>
      </c>
      <c r="BT25" s="661"/>
      <c r="BU25" s="661">
        <v>2009</v>
      </c>
      <c r="BV25" s="661"/>
      <c r="BW25" s="661">
        <v>2010</v>
      </c>
      <c r="BX25" s="661"/>
      <c r="BY25" s="661">
        <v>2011</v>
      </c>
      <c r="BZ25" s="661"/>
      <c r="CA25" s="661">
        <v>2012</v>
      </c>
      <c r="CB25" s="661"/>
      <c r="CC25" s="661">
        <v>2013</v>
      </c>
      <c r="CD25" s="661"/>
      <c r="CE25" s="661">
        <v>2014</v>
      </c>
      <c r="CF25" s="661"/>
      <c r="CG25" s="661">
        <v>2015</v>
      </c>
      <c r="CH25" s="661"/>
      <c r="CI25" s="661">
        <v>2016</v>
      </c>
      <c r="CJ25" s="661"/>
      <c r="CK25" s="661">
        <v>2017</v>
      </c>
      <c r="CL25" s="661"/>
      <c r="CM25" s="661">
        <v>2018</v>
      </c>
      <c r="CN25" s="661"/>
      <c r="CO25" s="661">
        <v>2019</v>
      </c>
      <c r="CP25" s="661"/>
      <c r="CQ25" s="661">
        <v>2020</v>
      </c>
      <c r="CR25" s="661"/>
      <c r="CS25" s="661">
        <v>2021</v>
      </c>
      <c r="CT25" s="661"/>
    </row>
    <row r="26" spans="3:98" ht="13.5" customHeight="1" hidden="1">
      <c r="C26" s="301" t="s">
        <v>267</v>
      </c>
      <c r="D26" s="859" t="s">
        <v>359</v>
      </c>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475"/>
      <c r="AZ26" s="740">
        <v>3</v>
      </c>
      <c r="BA26" s="769" t="s">
        <v>657</v>
      </c>
      <c r="BB26" s="740" t="s">
        <v>656</v>
      </c>
      <c r="BC26" s="667">
        <f>F10</f>
        <v>0</v>
      </c>
      <c r="BD26" s="667"/>
      <c r="BE26" s="667">
        <f>H10</f>
        <v>0</v>
      </c>
      <c r="BF26" s="667"/>
      <c r="BG26" s="667">
        <f>J10</f>
        <v>0</v>
      </c>
      <c r="BH26" s="667"/>
      <c r="BI26" s="667">
        <f>L10</f>
        <v>0</v>
      </c>
      <c r="BJ26" s="667"/>
      <c r="BK26" s="667">
        <f>N10</f>
        <v>0</v>
      </c>
      <c r="BL26" s="667"/>
      <c r="BM26" s="667">
        <f>P10</f>
        <v>0</v>
      </c>
      <c r="BN26" s="667"/>
      <c r="BO26" s="667">
        <f>R10</f>
        <v>0</v>
      </c>
      <c r="BP26" s="667"/>
      <c r="BQ26" s="667">
        <f>T10</f>
        <v>0</v>
      </c>
      <c r="BR26" s="667"/>
      <c r="BS26" s="667">
        <f>V10</f>
        <v>0</v>
      </c>
      <c r="BT26" s="667"/>
      <c r="BU26" s="667">
        <f>X10</f>
        <v>0</v>
      </c>
      <c r="BV26" s="667"/>
      <c r="BW26" s="667">
        <f>Z10</f>
        <v>0</v>
      </c>
      <c r="BX26" s="667"/>
      <c r="BY26" s="667">
        <f>AB10</f>
        <v>0</v>
      </c>
      <c r="BZ26" s="667"/>
      <c r="CA26" s="667">
        <f>AD10</f>
        <v>0</v>
      </c>
      <c r="CB26" s="667"/>
      <c r="CC26" s="667">
        <f>AF10</f>
        <v>0</v>
      </c>
      <c r="CD26" s="667"/>
      <c r="CE26" s="667">
        <f>AH10</f>
        <v>0</v>
      </c>
      <c r="CF26" s="667"/>
      <c r="CG26" s="667">
        <f>AJ10</f>
        <v>0</v>
      </c>
      <c r="CH26" s="667"/>
      <c r="CI26" s="667">
        <f>AL10</f>
        <v>0</v>
      </c>
      <c r="CJ26" s="667"/>
      <c r="CK26" s="667">
        <f>AN10</f>
        <v>0</v>
      </c>
      <c r="CL26" s="667"/>
      <c r="CM26" s="667">
        <f>AP10</f>
        <v>0</v>
      </c>
      <c r="CN26" s="667"/>
      <c r="CO26" s="667">
        <f>AR10</f>
        <v>0</v>
      </c>
      <c r="CP26" s="667"/>
      <c r="CQ26" s="667">
        <f>AT10</f>
        <v>0</v>
      </c>
      <c r="CR26" s="667"/>
      <c r="CS26" s="667">
        <f>AV10</f>
        <v>0</v>
      </c>
      <c r="CT26" s="667"/>
    </row>
    <row r="27" spans="1:110" s="456" customFormat="1" ht="12.75" customHeight="1" hidden="1">
      <c r="A27" s="297"/>
      <c r="B27" s="297"/>
      <c r="C27" s="301" t="s">
        <v>267</v>
      </c>
      <c r="D27" s="930" t="s">
        <v>330</v>
      </c>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475"/>
      <c r="AZ27" s="687">
        <v>15</v>
      </c>
      <c r="BA27" s="705" t="s">
        <v>219</v>
      </c>
      <c r="BB27" s="667" t="s">
        <v>656</v>
      </c>
      <c r="BC27" s="667">
        <f>F8-F9</f>
        <v>0</v>
      </c>
      <c r="BD27" s="667"/>
      <c r="BE27" s="667">
        <f>H8-H9</f>
        <v>0</v>
      </c>
      <c r="BF27" s="667"/>
      <c r="BG27" s="667">
        <f>J8-J9</f>
        <v>0</v>
      </c>
      <c r="BH27" s="667"/>
      <c r="BI27" s="667">
        <f>L8-L9</f>
        <v>0</v>
      </c>
      <c r="BJ27" s="667"/>
      <c r="BK27" s="667">
        <f>N8-N9</f>
        <v>0</v>
      </c>
      <c r="BL27" s="667"/>
      <c r="BM27" s="667">
        <f>P8-P9</f>
        <v>0</v>
      </c>
      <c r="BN27" s="667"/>
      <c r="BO27" s="667">
        <f>R8-R9</f>
        <v>0</v>
      </c>
      <c r="BP27" s="667"/>
      <c r="BQ27" s="667">
        <f>T8-T9</f>
        <v>0</v>
      </c>
      <c r="BR27" s="667"/>
      <c r="BS27" s="667">
        <f>V8-V9</f>
        <v>0</v>
      </c>
      <c r="BT27" s="667"/>
      <c r="BU27" s="667">
        <f>X8-X9</f>
        <v>0</v>
      </c>
      <c r="BV27" s="667"/>
      <c r="BW27" s="667">
        <f>Z8-Z9</f>
        <v>0</v>
      </c>
      <c r="BX27" s="667"/>
      <c r="BY27" s="667">
        <f>AB8-AB9</f>
        <v>0</v>
      </c>
      <c r="BZ27" s="667"/>
      <c r="CA27" s="667">
        <f>AD8-AD9</f>
        <v>0</v>
      </c>
      <c r="CB27" s="667"/>
      <c r="CC27" s="667">
        <f>AF8-AF9</f>
        <v>0</v>
      </c>
      <c r="CD27" s="667"/>
      <c r="CE27" s="667">
        <f>AH8-AH9</f>
        <v>0</v>
      </c>
      <c r="CF27" s="667"/>
      <c r="CG27" s="667">
        <f>AJ8-AJ9</f>
        <v>0</v>
      </c>
      <c r="CH27" s="667"/>
      <c r="CI27" s="667">
        <f>AL8-AL9</f>
        <v>0</v>
      </c>
      <c r="CJ27" s="667"/>
      <c r="CK27" s="667">
        <f>AN8-AN9</f>
        <v>0</v>
      </c>
      <c r="CL27" s="667"/>
      <c r="CM27" s="667">
        <f>AP8-AP9</f>
        <v>0</v>
      </c>
      <c r="CN27" s="667"/>
      <c r="CO27" s="667">
        <f>AR8-AR9</f>
        <v>0</v>
      </c>
      <c r="CP27" s="667"/>
      <c r="CQ27" s="667">
        <f>AT8-AT9</f>
        <v>0</v>
      </c>
      <c r="CR27" s="667"/>
      <c r="CS27" s="667">
        <f>AV8-AV9</f>
        <v>0</v>
      </c>
      <c r="CT27" s="667"/>
      <c r="CU27" s="476"/>
      <c r="CV27" s="476"/>
      <c r="CW27" s="476"/>
      <c r="CX27" s="476"/>
      <c r="CY27" s="476"/>
      <c r="CZ27" s="476"/>
      <c r="DA27" s="476"/>
      <c r="DB27" s="476"/>
      <c r="DC27" s="476"/>
      <c r="DD27" s="476"/>
      <c r="DE27" s="476"/>
      <c r="DF27" s="476"/>
    </row>
    <row r="28" spans="1:110" s="456" customFormat="1" ht="12.75" customHeight="1" hidden="1">
      <c r="A28" s="297"/>
      <c r="B28" s="297"/>
      <c r="C28" s="301"/>
      <c r="D28" s="924" t="s">
        <v>696</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609"/>
      <c r="AY28" s="475"/>
      <c r="AZ28" s="684" t="s">
        <v>295</v>
      </c>
      <c r="BA28" s="683" t="s">
        <v>659</v>
      </c>
      <c r="BB28" s="667"/>
      <c r="BC28" s="667" t="str">
        <f>IF(OR(ISBLANK(F8),ISBLANK(F9),ISBLANK(F10)),"N/A",IF((BC26=BC27),"ok","&lt;&gt;"))</f>
        <v>N/A</v>
      </c>
      <c r="BD28" s="667"/>
      <c r="BE28" s="667" t="str">
        <f>IF(OR(ISBLANK(H8),ISBLANK(H9),ISBLANK(H10)),"N/A",IF((BE26=BE27),"ok","&lt;&gt;"))</f>
        <v>N/A</v>
      </c>
      <c r="BF28" s="667"/>
      <c r="BG28" s="667" t="str">
        <f>IF(OR(ISBLANK(J8),ISBLANK(J9),ISBLANK(J10)),"N/A",IF((BG26=BG27),"ok","&lt;&gt;"))</f>
        <v>N/A</v>
      </c>
      <c r="BH28" s="667"/>
      <c r="BI28" s="667" t="str">
        <f>IF(OR(ISBLANK(L8),ISBLANK(L9),ISBLANK(L10)),"N/A",IF((BI26=BI27),"ok","&lt;&gt;"))</f>
        <v>N/A</v>
      </c>
      <c r="BJ28" s="667"/>
      <c r="BK28" s="667" t="str">
        <f>IF(OR(ISBLANK(N8),ISBLANK(N9),ISBLANK(N10)),"N/A",IF((BK26=BK27),"ok","&lt;&gt;"))</f>
        <v>N/A</v>
      </c>
      <c r="BL28" s="667"/>
      <c r="BM28" s="667" t="str">
        <f>IF(OR(ISBLANK(P8),ISBLANK(P9),ISBLANK(P10)),"N/A",IF((BM26=BM27),"ok","&lt;&gt;"))</f>
        <v>N/A</v>
      </c>
      <c r="BN28" s="667"/>
      <c r="BO28" s="667" t="str">
        <f>IF(OR(ISBLANK(R8),ISBLANK(R9),ISBLANK(R10)),"N/A",IF((BO26=BO27),"ok","&lt;&gt;"))</f>
        <v>N/A</v>
      </c>
      <c r="BP28" s="667"/>
      <c r="BQ28" s="667" t="str">
        <f>IF(OR(ISBLANK(T8),ISBLANK(T9),ISBLANK(T10)),"N/A",IF((BQ26=BQ27),"ok","&lt;&gt;"))</f>
        <v>N/A</v>
      </c>
      <c r="BR28" s="667"/>
      <c r="BS28" s="667" t="str">
        <f>IF(OR(ISBLANK(V8),ISBLANK(V9),ISBLANK(V10)),"N/A",IF((BS26=BS27),"ok","&lt;&gt;"))</f>
        <v>N/A</v>
      </c>
      <c r="BT28" s="667"/>
      <c r="BU28" s="667" t="str">
        <f>IF(OR(ISBLANK(X8),ISBLANK(X9),ISBLANK(X10)),"N/A",IF((BU26=BU27),"ok","&lt;&gt;"))</f>
        <v>N/A</v>
      </c>
      <c r="BV28" s="667"/>
      <c r="BW28" s="667" t="str">
        <f>IF(OR(ISBLANK(Z8),ISBLANK(Z9),ISBLANK(Z10)),"N/A",IF((BW26=BW27),"ok","&lt;&gt;"))</f>
        <v>N/A</v>
      </c>
      <c r="BX28" s="667"/>
      <c r="BY28" s="667" t="str">
        <f>IF(OR(ISBLANK(AB8),ISBLANK(AB9),ISBLANK(AB10)),"N/A",IF((BY26=BY27),"ok","&lt;&gt;"))</f>
        <v>N/A</v>
      </c>
      <c r="BZ28" s="667"/>
      <c r="CA28" s="667" t="str">
        <f>IF(OR(ISBLANK(AD8),ISBLANK(AD9),ISBLANK(AD10)),"N/A",IF((CA26=CA27),"ok","&lt;&gt;"))</f>
        <v>N/A</v>
      </c>
      <c r="CB28" s="667"/>
      <c r="CC28" s="667" t="str">
        <f>IF(OR(ISBLANK(AF8),ISBLANK(AF9),ISBLANK(AF10)),"N/A",IF((CC26=CC27),"ok","&lt;&gt;"))</f>
        <v>N/A</v>
      </c>
      <c r="CD28" s="667"/>
      <c r="CE28" s="667" t="str">
        <f>IF(OR(ISBLANK(AH8),ISBLANK(AH9),ISBLANK(AH10)),"N/A",IF((CE26=CE27),"ok","&lt;&gt;"))</f>
        <v>N/A</v>
      </c>
      <c r="CF28" s="667"/>
      <c r="CG28" s="667" t="str">
        <f>IF(OR(ISBLANK(AJ8),ISBLANK(AJ9),ISBLANK(AJ10)),"N/A",IF((CG26=CG27),"ok","&lt;&gt;"))</f>
        <v>N/A</v>
      </c>
      <c r="CH28" s="667"/>
      <c r="CI28" s="667" t="str">
        <f>IF(OR(ISBLANK(AL8),ISBLANK(AL9),ISBLANK(AL10)),"N/A",IF((CI26=CI27),"ok","&lt;&gt;"))</f>
        <v>N/A</v>
      </c>
      <c r="CJ28" s="667"/>
      <c r="CK28" s="667" t="str">
        <f>IF(OR(ISBLANK(AN8),ISBLANK(AN9),ISBLANK(AN10)),"N/A",IF((CK26=CK27),"ok","&lt;&gt;"))</f>
        <v>N/A</v>
      </c>
      <c r="CL28" s="667"/>
      <c r="CM28" s="667" t="str">
        <f>IF(OR(ISBLANK(AP8),ISBLANK(AP9),ISBLANK(AP10)),"N/A",IF((CM26=CM27),"ok","&lt;&gt;"))</f>
        <v>N/A</v>
      </c>
      <c r="CN28" s="667"/>
      <c r="CO28" s="667" t="str">
        <f>IF(OR(ISBLANK(AR8),ISBLANK(AR9),ISBLANK(AR10)),"N/A",IF((CO26=CO27),"ok","&lt;&gt;"))</f>
        <v>N/A</v>
      </c>
      <c r="CP28" s="667"/>
      <c r="CQ28" s="667" t="str">
        <f>IF(OR(ISBLANK(AT8),ISBLANK(AT9),ISBLANK(AT10)),"N/A",IF((CQ26=CQ27),"ok","&lt;&gt;"))</f>
        <v>N/A</v>
      </c>
      <c r="CR28" s="667"/>
      <c r="CS28" s="667" t="str">
        <f>IF(OR(ISBLANK(AV8),ISBLANK(AV9),ISBLANK(AV10)),"N/A",IF((CS26=CS27),"ok","&lt;&gt;"))</f>
        <v>N/A</v>
      </c>
      <c r="CT28" s="667"/>
      <c r="CU28" s="476"/>
      <c r="CV28" s="476"/>
      <c r="CW28" s="476"/>
      <c r="CX28" s="476"/>
      <c r="CY28" s="476"/>
      <c r="CZ28" s="476"/>
      <c r="DA28" s="476"/>
      <c r="DB28" s="476"/>
      <c r="DC28" s="476"/>
      <c r="DD28" s="476"/>
      <c r="DE28" s="476"/>
      <c r="DF28" s="476"/>
    </row>
    <row r="29" spans="1:110" s="456" customFormat="1" ht="14.25" customHeight="1" hidden="1">
      <c r="A29" s="297"/>
      <c r="B29" s="297"/>
      <c r="C29" s="301" t="s">
        <v>267</v>
      </c>
      <c r="D29" s="930" t="s">
        <v>333</v>
      </c>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411"/>
      <c r="AW29" s="411"/>
      <c r="AX29" s="411"/>
      <c r="AY29" s="475"/>
      <c r="AZ29" s="687">
        <v>16</v>
      </c>
      <c r="BA29" s="683" t="s">
        <v>660</v>
      </c>
      <c r="BB29" s="667" t="s">
        <v>656</v>
      </c>
      <c r="BC29" s="667">
        <f>SUM(F12:F16)+SUM(F18:F19)</f>
        <v>116.599998474121</v>
      </c>
      <c r="BD29" s="667"/>
      <c r="BE29" s="667">
        <f>SUM(H12:H16)+SUM(H18:H19)</f>
        <v>104</v>
      </c>
      <c r="BF29" s="667"/>
      <c r="BG29" s="667">
        <f>SUM(J12:J16)+SUM(J18:J19)</f>
        <v>125.199996948242</v>
      </c>
      <c r="BH29" s="667"/>
      <c r="BI29" s="667">
        <f>SUM(L12:L16)+SUM(L18:L19)</f>
        <v>0</v>
      </c>
      <c r="BJ29" s="667"/>
      <c r="BK29" s="667">
        <f>SUM(N12:N16)+SUM(N18:N19)</f>
        <v>142.899993896484</v>
      </c>
      <c r="BL29" s="667"/>
      <c r="BM29" s="667">
        <f>SUM(P12:P16)+SUM(P18:P19)</f>
        <v>153.199996948242</v>
      </c>
      <c r="BN29" s="667"/>
      <c r="BO29" s="667">
        <f>SUM(R12:R16)+SUM(R18:R19)</f>
        <v>160.199996948242</v>
      </c>
      <c r="BP29" s="667"/>
      <c r="BQ29" s="667">
        <f>SUM(T12:T16)+SUM(T18:T19)</f>
        <v>175.600006103516</v>
      </c>
      <c r="BR29" s="667"/>
      <c r="BS29" s="667">
        <f>SUM(V12:V16)+SUM(V18:V19)</f>
        <v>185.5</v>
      </c>
      <c r="BT29" s="667"/>
      <c r="BU29" s="667">
        <f>SUM(X12:X16)+SUM(X18:X19)</f>
        <v>182.199996948242</v>
      </c>
      <c r="BV29" s="667"/>
      <c r="BW29" s="667">
        <f>SUM(Z12:Z16)+SUM(Z18:Z19)</f>
        <v>85</v>
      </c>
      <c r="BX29" s="667"/>
      <c r="BY29" s="667">
        <f>SUM(AB12:AB16)+SUM(AB18:AB19)</f>
        <v>88.3000030517578</v>
      </c>
      <c r="BZ29" s="667"/>
      <c r="CA29" s="667">
        <f>SUM(AD12:AD16)+SUM(AD18:AD19)</f>
        <v>199.899993896484</v>
      </c>
      <c r="CB29" s="667"/>
      <c r="CC29" s="667">
        <f>SUM(AF12:AF16)+SUM(AF18:AF19)</f>
        <v>205.699996948242</v>
      </c>
      <c r="CD29" s="667"/>
      <c r="CE29" s="667">
        <f>SUM(AH12:AH16)+SUM(AH18:AH19)</f>
        <v>191.300003051758</v>
      </c>
      <c r="CF29" s="667"/>
      <c r="CG29" s="667">
        <f>SUM(AJ12:AJ16)+SUM(AJ18:AJ19)</f>
        <v>214.899993896484</v>
      </c>
      <c r="CH29" s="667"/>
      <c r="CI29" s="667">
        <f>SUM(AL12:AL16)+SUM(AL18:AL19)</f>
        <v>210.2</v>
      </c>
      <c r="CJ29" s="667"/>
      <c r="CK29" s="667">
        <f>SUM(AN12:AN16)+SUM(AN18:AN19)</f>
        <v>213.2</v>
      </c>
      <c r="CL29" s="667"/>
      <c r="CM29" s="667">
        <f>SUM(AP12:AP16)+SUM(AP18:AP19)</f>
        <v>214</v>
      </c>
      <c r="CN29" s="667"/>
      <c r="CO29" s="667">
        <f>SUM(AR12:AR16)+SUM(AR18:AR19)</f>
        <v>227.3</v>
      </c>
      <c r="CP29" s="667"/>
      <c r="CQ29" s="667">
        <f>SUM(AT12:AT16)+SUM(AT18:AT19)</f>
        <v>232.6</v>
      </c>
      <c r="CR29" s="667"/>
      <c r="CS29" s="667">
        <f>SUM(AV12:AV16)+SUM(AV18:AV19)</f>
        <v>250.7</v>
      </c>
      <c r="CT29" s="667"/>
      <c r="CU29" s="476"/>
      <c r="CV29" s="476"/>
      <c r="CW29" s="476"/>
      <c r="CX29" s="476"/>
      <c r="CY29" s="476"/>
      <c r="CZ29" s="476"/>
      <c r="DA29" s="476"/>
      <c r="DB29" s="476"/>
      <c r="DC29" s="476"/>
      <c r="DD29" s="476"/>
      <c r="DE29" s="476"/>
      <c r="DF29" s="476"/>
    </row>
    <row r="30" spans="1:110" s="456" customFormat="1" ht="16.5" customHeight="1" hidden="1">
      <c r="A30" s="297"/>
      <c r="B30" s="297"/>
      <c r="C30" s="301" t="s">
        <v>267</v>
      </c>
      <c r="D30" s="924" t="s">
        <v>332</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Y30" s="475"/>
      <c r="AZ30" s="684" t="s">
        <v>295</v>
      </c>
      <c r="BA30" s="683" t="s">
        <v>661</v>
      </c>
      <c r="BB30" s="667"/>
      <c r="BC30" s="667" t="str">
        <f>IF(OR(ISBLANK(F12),ISBLANK(F13),ISBLANK(F14),ISBLANK(F15),ISBLANK(F16),ISBLANK(F18),ISBLANK(F19),ISBLANK(F10)),"N/A",IF((BC26=BC29),"ok","&lt;&gt;"))</f>
        <v>N/A</v>
      </c>
      <c r="BD30" s="667"/>
      <c r="BE30" s="667" t="str">
        <f>IF(OR(ISBLANK(H12),ISBLANK(H13),ISBLANK(H14),ISBLANK(H15),ISBLANK(H16),ISBLANK(H18),ISBLANK(H19),ISBLANK(H10)),"N/A",IF((BE26=BE29),"ok","&lt;&gt;"))</f>
        <v>N/A</v>
      </c>
      <c r="BF30" s="667"/>
      <c r="BG30" s="667" t="str">
        <f>IF(OR(ISBLANK(J12),ISBLANK(J13),ISBLANK(J14),ISBLANK(J15),ISBLANK(J16),ISBLANK(J18),ISBLANK(J19),ISBLANK(J10)),"N/A",IF((BG26=BG29),"ok","&lt;&gt;"))</f>
        <v>N/A</v>
      </c>
      <c r="BH30" s="667"/>
      <c r="BI30" s="667" t="str">
        <f>IF(OR(ISBLANK(L12),ISBLANK(L13),ISBLANK(L14),ISBLANK(L15),ISBLANK(L16),ISBLANK(L18),ISBLANK(L19),ISBLANK(L10)),"N/A",IF((BI26=BI29),"ok","&lt;&gt;"))</f>
        <v>N/A</v>
      </c>
      <c r="BJ30" s="667"/>
      <c r="BK30" s="667" t="str">
        <f>IF(OR(ISBLANK(N12),ISBLANK(N13),ISBLANK(N14),ISBLANK(N15),ISBLANK(N16),ISBLANK(N18),ISBLANK(N19),ISBLANK(N10)),"N/A",IF((BK26=BK29),"ok","&lt;&gt;"))</f>
        <v>N/A</v>
      </c>
      <c r="BL30" s="667"/>
      <c r="BM30" s="667" t="str">
        <f>IF(OR(ISBLANK(P12),ISBLANK(P13),ISBLANK(P14),ISBLANK(P15),ISBLANK(P16),ISBLANK(P18),ISBLANK(P19),ISBLANK(P10)),"N/A",IF((BM26=BM29),"ok","&lt;&gt;"))</f>
        <v>N/A</v>
      </c>
      <c r="BN30" s="667"/>
      <c r="BO30" s="667" t="str">
        <f>IF(OR(ISBLANK(R12),ISBLANK(R13),ISBLANK(R14),ISBLANK(R15),ISBLANK(R16),ISBLANK(R18),ISBLANK(R19),ISBLANK(R10)),"N/A",IF((BO26=BO29),"ok","&lt;&gt;"))</f>
        <v>N/A</v>
      </c>
      <c r="BP30" s="667"/>
      <c r="BQ30" s="667" t="str">
        <f>IF(OR(ISBLANK(T12),ISBLANK(T13),ISBLANK(T14),ISBLANK(T15),ISBLANK(T16),ISBLANK(T18),ISBLANK(T19),ISBLANK(T10)),"N/A",IF((BQ26=BQ29),"ok","&lt;&gt;"))</f>
        <v>N/A</v>
      </c>
      <c r="BR30" s="667"/>
      <c r="BS30" s="667" t="str">
        <f>IF(OR(ISBLANK(V12),ISBLANK(V13),ISBLANK(V14),ISBLANK(V15),ISBLANK(V16),ISBLANK(V18),ISBLANK(V19),ISBLANK(V10)),"N/A",IF((BS26=BS29),"ok","&lt;&gt;"))</f>
        <v>N/A</v>
      </c>
      <c r="BT30" s="667"/>
      <c r="BU30" s="667" t="str">
        <f>IF(OR(ISBLANK(X12),ISBLANK(X13),ISBLANK(X14),ISBLANK(X15),ISBLANK(X16),ISBLANK(X18),ISBLANK(X19),ISBLANK(X10)),"N/A",IF((BU26=BU29),"ok","&lt;&gt;"))</f>
        <v>N/A</v>
      </c>
      <c r="BV30" s="667"/>
      <c r="BW30" s="667" t="str">
        <f>IF(OR(ISBLANK(Z12),ISBLANK(Z13),ISBLANK(Z14),ISBLANK(Z15),ISBLANK(Z16),ISBLANK(Z18),ISBLANK(Z19),ISBLANK(Z10)),"N/A",IF((BW26=BW29),"ok","&lt;&gt;"))</f>
        <v>N/A</v>
      </c>
      <c r="BX30" s="667"/>
      <c r="BY30" s="667" t="str">
        <f>IF(OR(ISBLANK(AB12),ISBLANK(AB13),ISBLANK(AB14),ISBLANK(AB15),ISBLANK(AB16),ISBLANK(AB18),ISBLANK(AB19),ISBLANK(AB10)),"N/A",IF((BY26=BY29),"ok","&lt;&gt;"))</f>
        <v>N/A</v>
      </c>
      <c r="BZ30" s="667"/>
      <c r="CA30" s="667" t="str">
        <f>IF(OR(ISBLANK(AD12),ISBLANK(AD13),ISBLANK(AD14),ISBLANK(AD15),ISBLANK(AD16),ISBLANK(AD18),ISBLANK(AD19),ISBLANK(AD10)),"N/A",IF((CA26=CA29),"ok","&lt;&gt;"))</f>
        <v>N/A</v>
      </c>
      <c r="CB30" s="667"/>
      <c r="CC30" s="667" t="str">
        <f>IF(OR(ISBLANK(AF12),ISBLANK(AF13),ISBLANK(AF14),ISBLANK(AF15),ISBLANK(AF16),ISBLANK(AF18),ISBLANK(AF19),ISBLANK(AF10)),"N/A",IF((CC26=CC29),"ok","&lt;&gt;"))</f>
        <v>N/A</v>
      </c>
      <c r="CD30" s="667"/>
      <c r="CE30" s="667" t="str">
        <f>IF(OR(ISBLANK(AH12),ISBLANK(AH13),ISBLANK(AH14),ISBLANK(AH15),ISBLANK(AH16),ISBLANK(AH18),ISBLANK(AH19),ISBLANK(AH10)),"N/A",IF((CE26=CE29),"ok","&lt;&gt;"))</f>
        <v>N/A</v>
      </c>
      <c r="CF30" s="667"/>
      <c r="CG30" s="667" t="str">
        <f>IF(OR(ISBLANK(AJ12),ISBLANK(AJ13),ISBLANK(AJ14),ISBLANK(AJ15),ISBLANK(AJ16),ISBLANK(AJ18),ISBLANK(AJ19),ISBLANK(AJ10)),"N/A",IF((CG26=CG29),"ok","&lt;&gt;"))</f>
        <v>N/A</v>
      </c>
      <c r="CH30" s="667"/>
      <c r="CI30" s="667" t="str">
        <f>IF(OR(ISBLANK(AL12),ISBLANK(AL13),ISBLANK(AL14),ISBLANK(AL15),ISBLANK(AL16),ISBLANK(AL18),ISBLANK(AL19),ISBLANK(AL10)),"N/A",IF((CI26=CI29),"ok","&lt;&gt;"))</f>
        <v>N/A</v>
      </c>
      <c r="CJ30" s="667"/>
      <c r="CK30" s="667" t="str">
        <f>IF(OR(ISBLANK(AN12),ISBLANK(AN13),ISBLANK(AN14),ISBLANK(AN15),ISBLANK(AN16),ISBLANK(AN18),ISBLANK(AN19),ISBLANK(AN10)),"N/A",IF((CK26=CK29),"ok","&lt;&gt;"))</f>
        <v>N/A</v>
      </c>
      <c r="CL30" s="667"/>
      <c r="CM30" s="667" t="str">
        <f>IF(OR(ISBLANK(AP12),ISBLANK(AP13),ISBLANK(AP14),ISBLANK(AP15),ISBLANK(AP16),ISBLANK(AP18),ISBLANK(AP19),ISBLANK(AP10)),"N/A",IF((CM26=CM29),"ok","&lt;&gt;"))</f>
        <v>N/A</v>
      </c>
      <c r="CN30" s="667"/>
      <c r="CO30" s="667" t="str">
        <f>IF(OR(ISBLANK(AR12),ISBLANK(AR13),ISBLANK(AR14),ISBLANK(AR15),ISBLANK(AR16),ISBLANK(AR18),ISBLANK(AR19),ISBLANK(AR10)),"N/A",IF((CO26=CO29),"ok","&lt;&gt;"))</f>
        <v>N/A</v>
      </c>
      <c r="CP30" s="667"/>
      <c r="CQ30" s="667" t="str">
        <f>IF(OR(ISBLANK(AT12),ISBLANK(AT13),ISBLANK(AT14),ISBLANK(AT15),ISBLANK(AT16),ISBLANK(AT18),ISBLANK(AT19),ISBLANK(AT10)),"N/A",IF((CQ26=CQ29),"ok","&lt;&gt;"))</f>
        <v>N/A</v>
      </c>
      <c r="CR30" s="667"/>
      <c r="CS30" s="667" t="str">
        <f>IF(OR(ISBLANK(AV12),ISBLANK(AV13),ISBLANK(AV14),ISBLANK(AV15),ISBLANK(AV16),ISBLANK(AV18),ISBLANK(AV19),ISBLANK(AV10)),"N/A",IF((CS26=CS29),"ok","&lt;&gt;"))</f>
        <v>N/A</v>
      </c>
      <c r="CT30" s="667"/>
      <c r="CU30" s="476"/>
      <c r="CV30" s="476"/>
      <c r="CW30" s="476"/>
      <c r="CX30" s="476"/>
      <c r="CY30" s="476"/>
      <c r="CZ30" s="476"/>
      <c r="DA30" s="476"/>
      <c r="DB30" s="476"/>
      <c r="DC30" s="476"/>
      <c r="DD30" s="476"/>
      <c r="DE30" s="476"/>
      <c r="DF30" s="476"/>
    </row>
    <row r="31" spans="1:110" s="456" customFormat="1" ht="16.5" customHeight="1" hidden="1">
      <c r="A31" s="297"/>
      <c r="B31" s="297"/>
      <c r="C31" s="30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475"/>
      <c r="AZ31" s="688" t="s">
        <v>295</v>
      </c>
      <c r="BA31" s="689" t="s">
        <v>662</v>
      </c>
      <c r="BB31" s="677"/>
      <c r="BC31" s="677" t="str">
        <f>IF(OR(ISBLANK(F21),ISBLANK(F22),ISBLANK(F23)),"N/A",IF(F21&lt;F23,"&lt;&gt;",IF(F21&gt;F22,"&lt;&gt;","ok")))</f>
        <v>N/A</v>
      </c>
      <c r="BD31" s="677"/>
      <c r="BE31" s="677" t="str">
        <f>IF(OR(ISBLANK(H21),ISBLANK(H22),ISBLANK(H23)),"N/A",IF(H21&lt;H23,"&lt;&gt;",IF(H21&gt;H22,"&lt;&gt;","ok")))</f>
        <v>N/A</v>
      </c>
      <c r="BF31" s="677"/>
      <c r="BG31" s="677" t="str">
        <f>IF(OR(ISBLANK(J21),ISBLANK(J22),ISBLANK(J23)),"N/A",IF(J21&lt;J23,"&lt;&gt;",IF(J21&gt;J22,"&lt;&gt;","ok")))</f>
        <v>N/A</v>
      </c>
      <c r="BH31" s="677"/>
      <c r="BI31" s="677" t="str">
        <f>IF(OR(ISBLANK(L21),ISBLANK(L22),ISBLANK(L23)),"N/A",IF(L21&lt;L23,"&lt;&gt;",IF(L21&gt;L22,"&lt;&gt;","ok")))</f>
        <v>N/A</v>
      </c>
      <c r="BJ31" s="677"/>
      <c r="BK31" s="677" t="str">
        <f>IF(OR(ISBLANK(N21),ISBLANK(N22),ISBLANK(N23)),"N/A",IF(N21&lt;N23,"&lt;&gt;",IF(N21&gt;N22,"&lt;&gt;","ok")))</f>
        <v>N/A</v>
      </c>
      <c r="BL31" s="677"/>
      <c r="BM31" s="677" t="str">
        <f>IF(OR(ISBLANK(P21),ISBLANK(P22),ISBLANK(P23)),"N/A",IF(P21&lt;P23,"&lt;&gt;",IF(P21&gt;P22,"&lt;&gt;","ok")))</f>
        <v>ok</v>
      </c>
      <c r="BN31" s="677"/>
      <c r="BO31" s="677" t="str">
        <f>IF(OR(ISBLANK(R21),ISBLANK(R22),ISBLANK(R23)),"N/A",IF(R21&lt;R23,"&lt;&gt;",IF(R21&gt;R22,"&lt;&gt;","ok")))</f>
        <v>N/A</v>
      </c>
      <c r="BP31" s="677"/>
      <c r="BQ31" s="677" t="str">
        <f>IF(OR(ISBLANK(T21),ISBLANK(T22),ISBLANK(T23)),"N/A",IF(T21&lt;T23,"&lt;&gt;",IF(T21&gt;T22,"&lt;&gt;","ok")))</f>
        <v>N/A</v>
      </c>
      <c r="BR31" s="677"/>
      <c r="BS31" s="677" t="str">
        <f>IF(OR(ISBLANK(V21),ISBLANK(V22),ISBLANK(V23)),"N/A",IF(V21&lt;V23,"&lt;&gt;",IF(V21&gt;V22,"&lt;&gt;","ok")))</f>
        <v>ok</v>
      </c>
      <c r="BT31" s="677"/>
      <c r="BU31" s="677" t="str">
        <f>IF(OR(ISBLANK(X21),ISBLANK(X22),ISBLANK(X23)),"N/A",IF(X21&lt;X23,"&lt;&gt;",IF(X21&gt;X22,"&lt;&gt;","ok")))</f>
        <v>N/A</v>
      </c>
      <c r="BV31" s="677"/>
      <c r="BW31" s="677" t="str">
        <f>IF(OR(ISBLANK(Z21),ISBLANK(Z22),ISBLANK(Z23)),"N/A",IF(Z21&lt;Z23,"&lt;&gt;",IF(Z21&gt;Z22,"&lt;&gt;","ok")))</f>
        <v>N/A</v>
      </c>
      <c r="BX31" s="677"/>
      <c r="BY31" s="677" t="str">
        <f>IF(OR(ISBLANK(AB21),ISBLANK(AB22),ISBLANK(AB23)),"N/A",IF(AB21&lt;AB23,"&lt;&gt;",IF(AB21&gt;AB22,"&lt;&gt;","ok")))</f>
        <v>N/A</v>
      </c>
      <c r="BZ31" s="677"/>
      <c r="CA31" s="677" t="str">
        <f>IF(OR(ISBLANK(AD21),ISBLANK(AD22),ISBLANK(AD23)),"N/A",IF(AD21&lt;AD23,"&lt;&gt;",IF(AD21&gt;AD22,"&lt;&gt;","ok")))</f>
        <v>ok</v>
      </c>
      <c r="CB31" s="677"/>
      <c r="CC31" s="677" t="str">
        <f>IF(OR(ISBLANK(AF21),ISBLANK(AF22),ISBLANK(AF23)),"N/A",IF(AF21&lt;AF23,"&lt;&gt;",IF(AF21&gt;AF22,"&lt;&gt;","ok")))</f>
        <v>ok</v>
      </c>
      <c r="CD31" s="677"/>
      <c r="CE31" s="677" t="str">
        <f>IF(OR(ISBLANK(AH21),ISBLANK(AH22),ISBLANK(AH23)),"N/A",IF(AH21&lt;AH23,"&lt;&gt;",IF(AH21&gt;AH22,"&lt;&gt;","ok")))</f>
        <v>N/A</v>
      </c>
      <c r="CF31" s="677"/>
      <c r="CG31" s="677" t="str">
        <f>IF(OR(ISBLANK(AJ21),ISBLANK(AJ22),ISBLANK(AJ23)),"N/A",IF(AJ21&lt;AJ23,"&lt;&gt;",IF(AJ21&gt;AJ22,"&lt;&gt;","ok")))</f>
        <v>ok</v>
      </c>
      <c r="CH31" s="677"/>
      <c r="CI31" s="677" t="str">
        <f>IF(OR(ISBLANK(AL21),ISBLANK(AL22),ISBLANK(AL23)),"N/A",IF(AL21&lt;AL23,"&lt;&gt;",IF(AL21&gt;AL22,"&lt;&gt;","ok")))</f>
        <v>N/A</v>
      </c>
      <c r="CJ31" s="677"/>
      <c r="CK31" s="677" t="str">
        <f>IF(OR(ISBLANK(AN21),ISBLANK(AN22),ISBLANK(AN23)),"N/A",IF(AN21&lt;AN23,"&lt;&gt;",IF(AN21&gt;AN22,"&lt;&gt;","ok")))</f>
        <v>N/A</v>
      </c>
      <c r="CL31" s="677"/>
      <c r="CM31" s="677" t="str">
        <f>IF(OR(ISBLANK(AP21),ISBLANK(AP22),ISBLANK(AP23)),"N/A",IF(AP21&lt;AP23,"&lt;&gt;",IF(AP21&gt;AP22,"&lt;&gt;","ok")))</f>
        <v>N/A</v>
      </c>
      <c r="CN31" s="677"/>
      <c r="CO31" s="677" t="str">
        <f>IF(OR(ISBLANK(AR21),ISBLANK(AR22),ISBLANK(AR23)),"N/A",IF(AR21&lt;AR23,"&lt;&gt;",IF(AR21&gt;AR22,"&lt;&gt;","ok")))</f>
        <v>N/A</v>
      </c>
      <c r="CP31" s="677"/>
      <c r="CQ31" s="677" t="str">
        <f>IF(OR(ISBLANK(AT21),ISBLANK(AT22),ISBLANK(AT23)),"N/A",IF(AT21&lt;AT23,"&lt;&gt;",IF(AT21&gt;AT22,"&lt;&gt;","ok")))</f>
        <v>N/A</v>
      </c>
      <c r="CR31" s="677"/>
      <c r="CS31" s="677" t="str">
        <f>IF(OR(ISBLANK(AV21),ISBLANK(AV22),ISBLANK(AV23)),"N/A",IF(AV21&lt;AV23,"&lt;&gt;",IF(AV21&gt;AV22,"&lt;&gt;","ok")))</f>
        <v>N/A</v>
      </c>
      <c r="CT31" s="667"/>
      <c r="CU31" s="476"/>
      <c r="CV31" s="476"/>
      <c r="CW31" s="476"/>
      <c r="CX31" s="476"/>
      <c r="CY31" s="476"/>
      <c r="CZ31" s="476"/>
      <c r="DA31" s="476"/>
      <c r="DB31" s="476"/>
      <c r="DC31" s="476"/>
      <c r="DD31" s="476"/>
      <c r="DE31" s="476"/>
      <c r="DF31" s="476"/>
    </row>
    <row r="32" spans="1:110" ht="21" customHeight="1" hidden="1">
      <c r="A32" s="297"/>
      <c r="B32" s="297"/>
      <c r="C32" s="301"/>
      <c r="D32" s="302"/>
      <c r="E32" s="303"/>
      <c r="F32" s="602"/>
      <c r="G32" s="602"/>
      <c r="H32" s="602"/>
      <c r="I32" s="602"/>
      <c r="J32" s="602"/>
      <c r="K32" s="602"/>
      <c r="L32" s="602"/>
      <c r="M32" s="602"/>
      <c r="N32" s="602"/>
      <c r="O32" s="602"/>
      <c r="P32" s="602"/>
      <c r="Q32" s="602"/>
      <c r="R32" s="602"/>
      <c r="S32" s="602"/>
      <c r="T32" s="602"/>
      <c r="U32" s="943" t="str">
        <f>D12&amp;" (W3,4)"</f>
        <v>الأسر المعيشية (W3,4)</v>
      </c>
      <c r="V32" s="944"/>
      <c r="W32" s="944"/>
      <c r="X32" s="944"/>
      <c r="Y32" s="944"/>
      <c r="Z32" s="944"/>
      <c r="AA32" s="944"/>
      <c r="AB32" s="945"/>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N/A</v>
      </c>
      <c r="BD32" s="77"/>
      <c r="BE32" s="77" t="str">
        <f>IF(OR(ISBLANK(H21),ISBLANK(H22),ISBLANK(H23)),"N/A",IF(H21&lt;H23,"&lt;&gt;",IF(H21&gt;H22,"&lt;&gt;","ok")))</f>
        <v>N/A</v>
      </c>
      <c r="BF32" s="77"/>
      <c r="BG32" s="77" t="str">
        <f>IF(OR(ISBLANK(J21),ISBLANK(J22),ISBLANK(J23)),"N/A",IF(J21&lt;J23,"&lt;&gt;",IF(J21&gt;J22,"&lt;&gt;","ok")))</f>
        <v>N/A</v>
      </c>
      <c r="BH32" s="77"/>
      <c r="BI32" s="77" t="str">
        <f>IF(OR(ISBLANK(L21),ISBLANK(L22),ISBLANK(L23)),"N/A",IF(L21&lt;L23,"&lt;&gt;",IF(L21&gt;L22,"&lt;&gt;","ok")))</f>
        <v>N/A</v>
      </c>
      <c r="BJ32" s="77"/>
      <c r="BK32" s="77" t="str">
        <f>IF(OR(ISBLANK(N21),ISBLANK(N22),ISBLANK(N23)),"N/A",IF(N21&lt;N23,"&lt;&gt;",IF(N21&gt;N22,"&lt;&gt;","ok")))</f>
        <v>N/A</v>
      </c>
      <c r="BL32" s="77"/>
      <c r="BM32" s="77" t="str">
        <f>IF(OR(ISBLANK(P21),ISBLANK(P22),ISBLANK(P23)),"N/A",IF(P21&lt;P23,"&lt;&gt;",IF(P21&gt;P22,"&lt;&gt;","ok")))</f>
        <v>ok</v>
      </c>
      <c r="BN32" s="77"/>
      <c r="BO32" s="77" t="str">
        <f>IF(OR(ISBLANK(R21),ISBLANK(R22),ISBLANK(R23)),"N/A",IF(R21&lt;R23,"&lt;&gt;",IF(R21&gt;R22,"&lt;&gt;","ok")))</f>
        <v>N/A</v>
      </c>
      <c r="BP32" s="77"/>
      <c r="BQ32" s="77" t="str">
        <f>IF(OR(ISBLANK(T21),ISBLANK(T22),ISBLANK(T23)),"N/A",IF(T21&lt;T23,"&lt;&gt;",IF(T21&gt;T22,"&lt;&gt;","ok")))</f>
        <v>N/A</v>
      </c>
      <c r="BR32" s="77"/>
      <c r="BS32" s="77" t="str">
        <f>IF(OR(ISBLANK(V21),ISBLANK(V22),ISBLANK(V23)),"N/A",IF(V21&lt;V23,"&lt;&gt;",IF(V21&gt;V22,"&lt;&gt;","ok")))</f>
        <v>ok</v>
      </c>
      <c r="BT32" s="77"/>
      <c r="BU32" s="77" t="str">
        <f>IF(OR(ISBLANK(X21),ISBLANK(X22),ISBLANK(X23)),"N/A",IF(X21&lt;X23,"&lt;&gt;",IF(X21&gt;X22,"&lt;&gt;","ok")))</f>
        <v>N/A</v>
      </c>
      <c r="BV32" s="77"/>
      <c r="BW32" s="77" t="str">
        <f>IF(OR(ISBLANK(Z21),ISBLANK(Z22),ISBLANK(Z23)),"N/A",IF(Z21&lt;Z23,"&lt;&gt;",IF(Z21&gt;Z22,"&lt;&gt;","ok")))</f>
        <v>N/A</v>
      </c>
      <c r="BX32" s="77"/>
      <c r="BY32" s="77" t="str">
        <f>IF(OR(ISBLANK(AB21),ISBLANK(AB22),ISBLANK(AB23)),"N/A",IF(AB21&lt;AB23,"&lt;&gt;",IF(AB21&gt;AB22,"&lt;&gt;","ok")))</f>
        <v>N/A</v>
      </c>
      <c r="BZ32" s="77"/>
      <c r="CA32" s="77" t="str">
        <f>IF(OR(ISBLANK(AD21),ISBLANK(AD22),ISBLANK(AD23)),"N/A",IF(AD21&lt;AD23,"&lt;&gt;",IF(AD21&gt;AD22,"&lt;&gt;","ok")))</f>
        <v>ok</v>
      </c>
      <c r="CB32" s="77"/>
      <c r="CC32" s="77" t="str">
        <f>IF(OR(ISBLANK(AF21),ISBLANK(AF22),ISBLANK(AF23)),"N/A",IF(AF21&lt;AF23,"&lt;&gt;",IF(AF21&gt;AF22,"&lt;&gt;","ok")))</f>
        <v>ok</v>
      </c>
      <c r="CD32" s="77"/>
      <c r="CE32" s="77" t="str">
        <f>IF(OR(ISBLANK(AH21),ISBLANK(AH22),ISBLANK(AH23)),"N/A",IF(AH21&lt;AH23,"&lt;&gt;",IF(AH21&gt;AH22,"&lt;&gt;","ok")))</f>
        <v>N/A</v>
      </c>
      <c r="CF32" s="77"/>
      <c r="CG32" s="77" t="str">
        <f>IF(OR(ISBLANK(AJ21),ISBLANK(AJ22),ISBLANK(AJ23)),"N/A",IF(AJ21&lt;AJ23,"&lt;&gt;",IF(AJ21&gt;AJ22,"&lt;&gt;","ok")))</f>
        <v>ok</v>
      </c>
      <c r="CH32" s="77"/>
      <c r="CI32" s="77" t="str">
        <f>IF(OR(ISBLANK(AL21),ISBLANK(AL22),ISBLANK(AL23)),"N/A",IF(AL21&lt;AL23,"&lt;&gt;",IF(AL21&gt;AL22,"&lt;&gt;","ok")))</f>
        <v>N/A</v>
      </c>
      <c r="CJ32" s="77"/>
      <c r="CK32" s="77" t="str">
        <f>IF(OR(ISBLANK(AN21),ISBLANK(AN22),ISBLANK(AN23)),"N/A",IF(AN21&lt;AN23,"&lt;&gt;",IF(AN21&gt;AN22,"&lt;&gt;","ok")))</f>
        <v>N/A</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hidden="1">
      <c r="A33" s="297"/>
      <c r="B33" s="297"/>
      <c r="C33" s="301"/>
      <c r="D33" s="302"/>
      <c r="E33" s="602"/>
      <c r="F33" s="602"/>
      <c r="G33" s="602"/>
      <c r="H33" s="602"/>
      <c r="I33" s="602"/>
      <c r="J33" s="602"/>
      <c r="K33" s="934" t="str">
        <f>LEFT(D10,LEN(D10)-25)&amp;" (W3,3)"</f>
        <v>صافي المياه العذبة التي توفرها صناعة إمدادات المياه )ISIC 36)  (W3,3)</v>
      </c>
      <c r="L33" s="935"/>
      <c r="M33" s="935"/>
      <c r="N33" s="936"/>
      <c r="O33" s="602"/>
      <c r="P33" s="602"/>
      <c r="Q33" s="602"/>
      <c r="R33" s="602"/>
      <c r="S33" s="602"/>
      <c r="T33" s="602"/>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hidden="1">
      <c r="A34" s="297"/>
      <c r="B34" s="297"/>
      <c r="C34" s="301"/>
      <c r="D34" s="948" t="str">
        <f>D8&amp;" (W3, 1)"</f>
        <v>إجمالي المياه العذبة التي توفرها صناعة إمدادات المياه )ISIC 36( (W3, 1)</v>
      </c>
      <c r="E34" s="602"/>
      <c r="F34" s="602"/>
      <c r="G34" s="602"/>
      <c r="H34" s="602"/>
      <c r="I34" s="602"/>
      <c r="J34" s="602"/>
      <c r="K34" s="937"/>
      <c r="L34" s="938"/>
      <c r="M34" s="938"/>
      <c r="N34" s="939"/>
      <c r="O34" s="602"/>
      <c r="P34" s="483" t="str">
        <f>D11</f>
        <v>ومنها ما يوفر إلى:</v>
      </c>
      <c r="Q34" s="602"/>
      <c r="R34" s="602"/>
      <c r="S34" s="602"/>
      <c r="T34" s="602"/>
      <c r="U34" s="943" t="str">
        <f>D13&amp;" (W3,5)"</f>
        <v>الزراعة والحراجة وصيد الأسماك )ISIC 01-03( (W3,5)</v>
      </c>
      <c r="V34" s="944"/>
      <c r="W34" s="944"/>
      <c r="X34" s="944"/>
      <c r="Y34" s="944"/>
      <c r="Z34" s="944"/>
      <c r="AA34" s="944"/>
      <c r="AB34" s="945"/>
      <c r="AC34" s="303"/>
      <c r="AD34" s="303"/>
      <c r="AE34" s="599"/>
      <c r="AF34" s="599"/>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hidden="1">
      <c r="A35" s="297"/>
      <c r="B35" s="297"/>
      <c r="C35" s="301"/>
      <c r="D35" s="949"/>
      <c r="E35" s="602"/>
      <c r="F35" s="602"/>
      <c r="G35" s="602"/>
      <c r="H35" s="602"/>
      <c r="I35" s="602"/>
      <c r="J35" s="602"/>
      <c r="K35" s="937"/>
      <c r="L35" s="938"/>
      <c r="M35" s="938"/>
      <c r="N35" s="939"/>
      <c r="O35" s="602"/>
      <c r="P35" s="602"/>
      <c r="Q35" s="602"/>
      <c r="R35" s="602"/>
      <c r="S35" s="602"/>
      <c r="T35" s="602"/>
      <c r="U35" s="606"/>
      <c r="V35" s="606"/>
      <c r="W35" s="606"/>
      <c r="X35" s="606"/>
      <c r="Y35" s="606"/>
      <c r="Z35" s="606"/>
      <c r="AA35" s="305"/>
      <c r="AB35" s="304"/>
      <c r="AC35" s="303"/>
      <c r="AD35" s="599"/>
      <c r="AE35" s="599"/>
      <c r="AF35" s="599"/>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hidden="1">
      <c r="A36" s="297"/>
      <c r="B36" s="297"/>
      <c r="C36" s="301"/>
      <c r="D36" s="950"/>
      <c r="E36" s="602"/>
      <c r="F36" s="602"/>
      <c r="G36" s="602"/>
      <c r="H36" s="602"/>
      <c r="I36" s="602"/>
      <c r="J36" s="602"/>
      <c r="K36" s="940"/>
      <c r="L36" s="941"/>
      <c r="M36" s="941"/>
      <c r="N36" s="942"/>
      <c r="O36" s="602"/>
      <c r="P36" s="602"/>
      <c r="Q36" s="602"/>
      <c r="R36" s="602"/>
      <c r="S36" s="602"/>
      <c r="T36" s="602"/>
      <c r="U36" s="943" t="str">
        <f>D14&amp;" (W3,6)"</f>
        <v>التعدين واستغلال المحاجر )ISIC 05-09( (W3,6)</v>
      </c>
      <c r="V36" s="944"/>
      <c r="W36" s="944"/>
      <c r="X36" s="944"/>
      <c r="Y36" s="944"/>
      <c r="Z36" s="944"/>
      <c r="AA36" s="944"/>
      <c r="AB36" s="945"/>
      <c r="AC36" s="303"/>
      <c r="AD36" s="599"/>
      <c r="AE36" s="599"/>
      <c r="AF36" s="599"/>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hidden="1">
      <c r="A37" s="297"/>
      <c r="B37" s="297"/>
      <c r="C37" s="301"/>
      <c r="D37" s="302"/>
      <c r="E37" s="305"/>
      <c r="F37" s="305"/>
      <c r="G37" s="305"/>
      <c r="H37" s="305"/>
      <c r="I37" s="305"/>
      <c r="J37" s="305"/>
      <c r="K37" s="305"/>
      <c r="L37" s="305"/>
      <c r="M37" s="305"/>
      <c r="N37" s="305"/>
      <c r="O37" s="305"/>
      <c r="P37" s="305"/>
      <c r="Q37" s="305"/>
      <c r="R37" s="305"/>
      <c r="S37" s="305"/>
      <c r="T37" s="305"/>
      <c r="U37" s="606"/>
      <c r="V37" s="606"/>
      <c r="W37" s="606"/>
      <c r="X37" s="606"/>
      <c r="Y37" s="606"/>
      <c r="Z37" s="606"/>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hidden="1">
      <c r="A38" s="297"/>
      <c r="B38" s="297"/>
      <c r="C38" s="301"/>
      <c r="D38" s="302"/>
      <c r="E38" s="305"/>
      <c r="F38" s="305"/>
      <c r="G38" s="305"/>
      <c r="H38" s="305"/>
      <c r="I38" s="305"/>
      <c r="J38" s="305"/>
      <c r="K38" s="305"/>
      <c r="L38" s="305"/>
      <c r="M38" s="305"/>
      <c r="N38" s="305"/>
      <c r="O38" s="305"/>
      <c r="P38" s="305"/>
      <c r="Q38" s="305"/>
      <c r="R38" s="305"/>
      <c r="S38" s="305"/>
      <c r="T38" s="305"/>
      <c r="U38" s="943" t="str">
        <f>D15&amp;" (W3,7)"</f>
        <v>الصناعة التحويلية )ISIC 10-33( (W3,7)</v>
      </c>
      <c r="V38" s="944"/>
      <c r="W38" s="944"/>
      <c r="X38" s="944"/>
      <c r="Y38" s="944"/>
      <c r="Z38" s="944"/>
      <c r="AA38" s="944"/>
      <c r="AB38" s="945"/>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hidden="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hidden="1">
      <c r="A40" s="297"/>
      <c r="B40" s="297"/>
      <c r="C40" s="301"/>
      <c r="D40" s="302"/>
      <c r="E40" s="305"/>
      <c r="F40" s="305"/>
      <c r="G40" s="305"/>
      <c r="H40" s="305"/>
      <c r="I40" s="305"/>
      <c r="J40" s="305"/>
      <c r="K40" s="305"/>
      <c r="L40" s="305"/>
      <c r="M40" s="305"/>
      <c r="N40" s="305"/>
      <c r="O40" s="305"/>
      <c r="P40" s="305"/>
      <c r="Q40" s="305"/>
      <c r="R40" s="305"/>
      <c r="S40" s="305"/>
      <c r="T40" s="305"/>
      <c r="U40" s="943" t="str">
        <f>D16&amp;" (W3,8)"</f>
        <v>إمدادات الكهرباء والغاز والبخار وتكييف الهواء )ISIC 35( (W3,8)</v>
      </c>
      <c r="V40" s="944"/>
      <c r="W40" s="944"/>
      <c r="X40" s="944"/>
      <c r="Y40" s="944"/>
      <c r="Z40" s="944"/>
      <c r="AA40" s="944"/>
      <c r="AB40" s="945"/>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hidden="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hidden="1">
      <c r="A42" s="297"/>
      <c r="B42" s="297"/>
      <c r="C42" s="301"/>
      <c r="D42" s="302"/>
      <c r="E42" s="305"/>
      <c r="F42" s="305"/>
      <c r="G42" s="305"/>
      <c r="H42" s="305"/>
      <c r="I42" s="305"/>
      <c r="J42" s="305"/>
      <c r="K42" s="305"/>
      <c r="L42" s="305"/>
      <c r="M42" s="305"/>
      <c r="N42" s="305"/>
      <c r="O42" s="305"/>
      <c r="P42" s="305"/>
      <c r="Q42" s="305"/>
      <c r="R42" s="305"/>
      <c r="S42" s="305"/>
      <c r="T42" s="305"/>
      <c r="U42" s="943" t="str">
        <f>D18&amp;" (W3,10)"</f>
        <v>التشييد )ISIC 41-43( (W3,10)</v>
      </c>
      <c r="V42" s="944"/>
      <c r="W42" s="944"/>
      <c r="X42" s="944"/>
      <c r="Y42" s="944"/>
      <c r="Z42" s="944"/>
      <c r="AA42" s="944"/>
      <c r="AB42" s="945"/>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hidden="1">
      <c r="A43" s="297"/>
      <c r="B43" s="297"/>
      <c r="C43" s="301"/>
      <c r="D43" s="302"/>
      <c r="E43" s="934" t="str">
        <f>D9&amp;" (W3, 2)"</f>
        <v>فاقد المياه العذبة أثناء النقل بواسطة ISIC 36 (W3, 2)</v>
      </c>
      <c r="F43" s="951"/>
      <c r="G43" s="951"/>
      <c r="H43" s="952"/>
      <c r="I43" s="305"/>
      <c r="J43" s="305"/>
      <c r="K43" s="305"/>
      <c r="L43" s="305"/>
      <c r="M43" s="305"/>
      <c r="N43" s="305"/>
      <c r="O43" s="305"/>
      <c r="P43" s="305"/>
      <c r="Q43" s="305"/>
      <c r="R43" s="305"/>
      <c r="S43" s="305"/>
      <c r="T43" s="305"/>
      <c r="U43" s="305"/>
      <c r="V43" s="305"/>
      <c r="W43" s="305"/>
      <c r="X43" s="478"/>
      <c r="Y43" s="303"/>
      <c r="Z43" s="303"/>
      <c r="AA43" s="596"/>
      <c r="AB43" s="596"/>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hidden="1">
      <c r="A44" s="297"/>
      <c r="B44" s="297"/>
      <c r="C44" s="301"/>
      <c r="D44" s="302"/>
      <c r="E44" s="953"/>
      <c r="F44" s="954"/>
      <c r="G44" s="954"/>
      <c r="H44" s="955"/>
      <c r="I44" s="305"/>
      <c r="J44" s="305"/>
      <c r="K44" s="305"/>
      <c r="L44" s="305"/>
      <c r="M44" s="305"/>
      <c r="N44" s="305"/>
      <c r="O44" s="305"/>
      <c r="P44" s="305"/>
      <c r="Q44" s="305"/>
      <c r="R44" s="305"/>
      <c r="S44" s="305"/>
      <c r="T44" s="305"/>
      <c r="U44" s="943" t="str">
        <f>D19&amp;" (W3,11)"</f>
        <v>الأنشطة الاقتصادية الأخرى (W3,11)</v>
      </c>
      <c r="V44" s="944"/>
      <c r="W44" s="944"/>
      <c r="X44" s="944"/>
      <c r="Y44" s="944"/>
      <c r="Z44" s="944"/>
      <c r="AA44" s="944"/>
      <c r="AB44" s="945"/>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9"/>
      <c r="AA45" s="599"/>
      <c r="AB45" s="599"/>
      <c r="AC45" s="605"/>
      <c r="AD45" s="605"/>
      <c r="AE45" s="605"/>
      <c r="AF45" s="605"/>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80" t="s">
        <v>336</v>
      </c>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2"/>
      <c r="AY48" s="484"/>
      <c r="AZ48" s="490"/>
    </row>
    <row r="49" spans="1:52" ht="18" customHeight="1">
      <c r="A49" s="195">
        <v>1</v>
      </c>
      <c r="B49" s="196">
        <v>4956</v>
      </c>
      <c r="C49" s="559" t="s">
        <v>716</v>
      </c>
      <c r="D49" s="927" t="s">
        <v>720</v>
      </c>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491"/>
      <c r="AZ49" s="490"/>
    </row>
    <row r="50" spans="1:52" ht="18" customHeight="1">
      <c r="A50" s="195">
        <v>1</v>
      </c>
      <c r="B50" s="196">
        <v>4386</v>
      </c>
      <c r="C50" s="559" t="s">
        <v>715</v>
      </c>
      <c r="D50" s="863" t="s">
        <v>722</v>
      </c>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c r="AY50" s="491"/>
      <c r="AZ50" s="490"/>
    </row>
    <row r="51" spans="1:52" ht="18" customHeight="1">
      <c r="A51" s="195">
        <v>0</v>
      </c>
      <c r="B51" s="196">
        <v>5873</v>
      </c>
      <c r="C51" s="559" t="s">
        <v>717</v>
      </c>
      <c r="D51" s="863" t="s">
        <v>721</v>
      </c>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5"/>
      <c r="AY51" s="491"/>
      <c r="AZ51" s="490"/>
    </row>
    <row r="52" spans="3:52"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Y52" s="491"/>
      <c r="AZ52" s="490"/>
    </row>
    <row r="53" spans="3:52"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Y53" s="491"/>
      <c r="AZ53" s="490"/>
    </row>
    <row r="54" spans="3:52"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Y54" s="491"/>
      <c r="AZ54" s="490"/>
    </row>
    <row r="55" spans="3:52"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Y55" s="491"/>
      <c r="AZ55" s="490"/>
    </row>
    <row r="56" spans="3:52"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c r="AY56" s="491"/>
      <c r="AZ56" s="490"/>
    </row>
    <row r="57" spans="3:98"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c r="AY60" s="491"/>
    </row>
    <row r="61" spans="3:51"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c r="AY61" s="491"/>
    </row>
    <row r="62" spans="3:51"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c r="AY62" s="491"/>
    </row>
    <row r="63" spans="3:51"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c r="AY63" s="491"/>
    </row>
    <row r="64" spans="3:51"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c r="AY64" s="491"/>
    </row>
    <row r="65" spans="3:51"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c r="AY65" s="491"/>
    </row>
    <row r="66" spans="3:51"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c r="AY66" s="491"/>
    </row>
    <row r="67" spans="3:51"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c r="AY67" s="491"/>
    </row>
    <row r="68" spans="3:51"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c r="AY68" s="491"/>
    </row>
    <row r="69" spans="3:51" ht="18" customHeight="1">
      <c r="C69" s="567"/>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c r="AY69" s="491"/>
    </row>
    <row r="70" spans="3:51" ht="18" customHeight="1">
      <c r="C70" s="568"/>
      <c r="D70" s="877"/>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U32:AB32"/>
    <mergeCell ref="U34:AB34"/>
    <mergeCell ref="U36:AB36"/>
    <mergeCell ref="U42:AB42"/>
    <mergeCell ref="U44:AB44"/>
    <mergeCell ref="D52:AX52"/>
    <mergeCell ref="D49:AX49"/>
    <mergeCell ref="D48:AX48"/>
    <mergeCell ref="D34:D36"/>
    <mergeCell ref="E43:H44"/>
    <mergeCell ref="K33:N36"/>
    <mergeCell ref="D53:AX53"/>
    <mergeCell ref="D50:AX50"/>
    <mergeCell ref="D51:AX51"/>
    <mergeCell ref="D59:AX59"/>
    <mergeCell ref="D60:AX60"/>
    <mergeCell ref="U38:AB38"/>
    <mergeCell ref="U40:AB40"/>
    <mergeCell ref="D61:AX61"/>
    <mergeCell ref="D62:AX62"/>
    <mergeCell ref="D63:AX63"/>
    <mergeCell ref="D54:AX54"/>
    <mergeCell ref="D55:AX55"/>
    <mergeCell ref="D56:AX56"/>
    <mergeCell ref="D57:AX57"/>
    <mergeCell ref="BG3:BI3"/>
    <mergeCell ref="BM3:BO3"/>
    <mergeCell ref="D70:AX70"/>
    <mergeCell ref="D66:AX66"/>
    <mergeCell ref="D67:AX67"/>
    <mergeCell ref="D68:AX68"/>
    <mergeCell ref="D69:AX69"/>
    <mergeCell ref="D64:AX64"/>
    <mergeCell ref="D65:AX65"/>
    <mergeCell ref="D58:AX58"/>
    <mergeCell ref="D31:AX31"/>
    <mergeCell ref="D27:AX27"/>
    <mergeCell ref="D30:AX30"/>
    <mergeCell ref="C5:AN5"/>
    <mergeCell ref="D29:AU29"/>
    <mergeCell ref="D26:AX26"/>
    <mergeCell ref="D28:AW28"/>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60" zoomScaleNormal="60" zoomScaleSheetLayoutView="85" workbookViewId="0" topLeftCell="C1">
      <selection activeCell="F8" sqref="F8"/>
    </sheetView>
  </sheetViews>
  <sheetFormatPr defaultColWidth="9.16015625" defaultRowHeight="12.75"/>
  <cols>
    <col min="1" max="1" width="11.83203125" style="195" hidden="1" customWidth="1"/>
    <col min="2" max="2" width="9.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275</v>
      </c>
      <c r="C3" s="354" t="s">
        <v>320</v>
      </c>
      <c r="D3" s="97" t="s">
        <v>564</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921" t="s">
        <v>340</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2:99" ht="20.25" customHeight="1">
      <c r="B8" s="254">
        <v>84</v>
      </c>
      <c r="C8" s="393">
        <v>1</v>
      </c>
      <c r="D8" s="503" t="s">
        <v>438</v>
      </c>
      <c r="E8" s="389" t="s">
        <v>368</v>
      </c>
      <c r="F8" s="556"/>
      <c r="G8" s="581"/>
      <c r="H8" s="556"/>
      <c r="I8" s="581"/>
      <c r="J8" s="556"/>
      <c r="K8" s="581"/>
      <c r="L8" s="556"/>
      <c r="M8" s="581"/>
      <c r="N8" s="556"/>
      <c r="O8" s="581"/>
      <c r="P8" s="556"/>
      <c r="Q8" s="581"/>
      <c r="R8" s="556"/>
      <c r="S8" s="581"/>
      <c r="T8" s="556"/>
      <c r="U8" s="581"/>
      <c r="V8" s="556"/>
      <c r="W8" s="581"/>
      <c r="X8" s="556"/>
      <c r="Y8" s="581"/>
      <c r="Z8" s="556"/>
      <c r="AA8" s="581"/>
      <c r="AB8" s="556"/>
      <c r="AC8" s="581"/>
      <c r="AD8" s="556"/>
      <c r="AE8" s="581"/>
      <c r="AF8" s="556"/>
      <c r="AG8" s="581"/>
      <c r="AH8" s="556"/>
      <c r="AI8" s="581"/>
      <c r="AJ8" s="556"/>
      <c r="AK8" s="581"/>
      <c r="AL8" s="556"/>
      <c r="AM8" s="581"/>
      <c r="AN8" s="556"/>
      <c r="AO8" s="581"/>
      <c r="AP8" s="556"/>
      <c r="AQ8" s="581"/>
      <c r="AR8" s="556"/>
      <c r="AS8" s="581"/>
      <c r="AT8" s="556"/>
      <c r="AU8" s="581"/>
      <c r="AV8" s="556">
        <v>182000</v>
      </c>
      <c r="AW8" s="581" t="s">
        <v>716</v>
      </c>
      <c r="AZ8" s="698">
        <v>1</v>
      </c>
      <c r="BA8" s="706" t="s">
        <v>252</v>
      </c>
      <c r="BB8" s="667" t="s">
        <v>558</v>
      </c>
      <c r="BC8" s="707" t="s">
        <v>249</v>
      </c>
      <c r="BD8" s="708"/>
      <c r="BE8" s="662" t="str">
        <f>IF(OR(ISBLANK(F8),ISBLANK(H8)),"N/A",IF(ABS((H8-F8)/F8)&gt;0.25,"&gt; 25%","ok"))</f>
        <v>N/A</v>
      </c>
      <c r="BF8" s="662"/>
      <c r="BG8" s="662" t="str">
        <f>IF(OR(ISBLANK(H8),ISBLANK(J8)),"N/A",IF(ABS((J8-H8)/H8)&gt;0.25,"&gt; 25%","ok"))</f>
        <v>N/A</v>
      </c>
      <c r="BH8" s="662"/>
      <c r="BI8" s="662" t="str">
        <f aca="true" t="shared" si="0" ref="BI8:BI27">IF(OR(ISBLANK(J8),ISBLANK(L8)),"N/A",IF(ABS((L8-J8)/J8)&gt;0.25,"&gt; 25%","ok"))</f>
        <v>N/A</v>
      </c>
      <c r="BJ8" s="662"/>
      <c r="BK8" s="662" t="str">
        <f aca="true" t="shared" si="1" ref="BK8:BK27">IF(OR(ISBLANK(L8),ISBLANK(N8)),"N/A",IF(ABS((N8-L8)/L8)&gt;0.25,"&gt; 25%","ok"))</f>
        <v>N/A</v>
      </c>
      <c r="BL8" s="662"/>
      <c r="BM8" s="662" t="str">
        <f aca="true" t="shared" si="2" ref="BM8:BM27">IF(OR(ISBLANK(N8),ISBLANK(P8)),"N/A",IF(ABS((P8-N8)/N8)&gt;0.25,"&gt; 25%","ok"))</f>
        <v>N/A</v>
      </c>
      <c r="BN8" s="662"/>
      <c r="BO8" s="662" t="str">
        <f aca="true" t="shared" si="3" ref="BO8:BO27">IF(OR(ISBLANK(P8),ISBLANK(R8)),"N/A",IF(ABS((R8-P8)/P8)&gt;0.25,"&gt; 25%","ok"))</f>
        <v>N/A</v>
      </c>
      <c r="BP8" s="662"/>
      <c r="BQ8" s="662" t="str">
        <f aca="true" t="shared" si="4" ref="BQ8:BQ27">IF(OR(ISBLANK(R8),ISBLANK(T8)),"N/A",IF(ABS((T8-R8)/R8)&gt;0.25,"&gt; 25%","ok"))</f>
        <v>N/A</v>
      </c>
      <c r="BR8" s="662"/>
      <c r="BS8" s="662" t="str">
        <f aca="true" t="shared" si="5" ref="BS8:BS27">IF(OR(ISBLANK(T8),ISBLANK(V8)),"N/A",IF(ABS((V8-T8)/T8)&gt;0.25,"&gt; 25%","ok"))</f>
        <v>N/A</v>
      </c>
      <c r="BT8" s="662"/>
      <c r="BU8" s="662" t="str">
        <f aca="true" t="shared" si="6" ref="BU8:BU27">IF(OR(ISBLANK(V8),ISBLANK(X8)),"N/A",IF(ABS((X8-V8)/V8)&gt;0.25,"&gt; 25%","ok"))</f>
        <v>N/A</v>
      </c>
      <c r="BV8" s="662"/>
      <c r="BW8" s="662" t="str">
        <f aca="true" t="shared" si="7" ref="BW8:BW27">IF(OR(ISBLANK(X8),ISBLANK(Z8)),"N/A",IF(ABS((Z8-X8)/X8)&gt;0.25,"&gt; 25%","ok"))</f>
        <v>N/A</v>
      </c>
      <c r="BX8" s="662"/>
      <c r="BY8" s="662" t="str">
        <f aca="true" t="shared" si="8" ref="BY8:BY27">IF(OR(ISBLANK(Z8),ISBLANK(AB8)),"N/A",IF(ABS((AB8-Z8)/Z8)&gt;0.25,"&gt; 25%","ok"))</f>
        <v>N/A</v>
      </c>
      <c r="BZ8" s="662"/>
      <c r="CA8" s="662" t="str">
        <f aca="true" t="shared" si="9" ref="CA8:CA27">IF(OR(ISBLANK(AB8),ISBLANK(AD8)),"N/A",IF(ABS((AD8-AB8)/AB8)&gt;0.25,"&gt; 25%","ok"))</f>
        <v>N/A</v>
      </c>
      <c r="CB8" s="662"/>
      <c r="CC8" s="662" t="str">
        <f aca="true" t="shared" si="10" ref="CC8:CC27">IF(OR(ISBLANK(AD8),ISBLANK(AF8)),"N/A",IF(ABS((AF8-AD8)/AD8)&gt;0.25,"&gt; 25%","ok"))</f>
        <v>N/A</v>
      </c>
      <c r="CD8" s="662"/>
      <c r="CE8" s="662" t="str">
        <f aca="true" t="shared" si="11" ref="CE8:CE27">IF(OR(ISBLANK(AF8),ISBLANK(AH8)),"N/A",IF(ABS((AH8-AF8)/AF8)&gt;0.25,"&gt; 25%","ok"))</f>
        <v>N/A</v>
      </c>
      <c r="CF8" s="662"/>
      <c r="CG8" s="662" t="str">
        <f aca="true" t="shared" si="12" ref="CG8:CG27">IF(OR(ISBLANK(AH8),ISBLANK(AJ8)),"N/A",IF(ABS((AJ8-AH8)/AH8)&gt;0.25,"&gt; 25%","ok"))</f>
        <v>N/A</v>
      </c>
      <c r="CH8" s="662"/>
      <c r="CI8" s="662" t="str">
        <f aca="true" t="shared" si="13" ref="CI8:CI27">IF(OR(ISBLANK(AJ8),ISBLANK(AL8)),"N/A",IF(ABS((AL8-AJ8)/AJ8)&gt;0.25,"&gt; 25%","ok"))</f>
        <v>N/A</v>
      </c>
      <c r="CJ8" s="662"/>
      <c r="CK8" s="662" t="str">
        <f aca="true" t="shared" si="14" ref="CK8:CK27">IF(OR(ISBLANK(AL8),ISBLANK(AN8)),"N/A",IF(ABS((AN8-AL8)/AL8)&gt;0.25,"&gt; 25%","ok"))</f>
        <v>N/A</v>
      </c>
      <c r="CL8" s="662"/>
      <c r="CM8" s="662" t="str">
        <f aca="true" t="shared" si="15" ref="CM8:CM27">IF(OR(ISBLANK(AN8),ISBLANK(AP8)),"N/A",IF(ABS((AP8-AN8)/AN8)&gt;0.25,"&gt; 25%","ok"))</f>
        <v>N/A</v>
      </c>
      <c r="CN8" s="662"/>
      <c r="CO8" s="662" t="str">
        <f aca="true" t="shared" si="16" ref="CO8:CO27">IF(OR(ISBLANK(AP8),ISBLANK(AR8)),"N/A",IF(ABS((AR8-AP8)/AP8)&gt;0.25,"&gt; 25%","ok"))</f>
        <v>N/A</v>
      </c>
      <c r="CP8" s="662"/>
      <c r="CQ8" s="662" t="str">
        <f aca="true" t="shared" si="17" ref="CQ8:CQ27">IF(OR(ISBLANK(AR8),ISBLANK(AT8)),"N/A",IF(ABS((AT8-AR8)/AR8)&gt;0.25,"&gt; 25%","ok"))</f>
        <v>N/A</v>
      </c>
      <c r="CR8" s="662"/>
      <c r="CS8" s="662" t="str">
        <f aca="true" t="shared" si="18" ref="CS8:CS27">IF(OR(ISBLANK(AT8),ISBLANK(AV8)),"N/A",IF(ABS((AV8-AT8)/AT8)&gt;0.25,"&gt; 25%","ok"))</f>
        <v>N/A</v>
      </c>
      <c r="CT8" s="76"/>
      <c r="CU8" s="260"/>
    </row>
    <row r="9" spans="2:101" ht="56.25">
      <c r="B9" s="504">
        <v>85</v>
      </c>
      <c r="C9" s="389">
        <v>2</v>
      </c>
      <c r="D9" s="470" t="s">
        <v>698</v>
      </c>
      <c r="E9" s="389" t="s">
        <v>368</v>
      </c>
      <c r="F9" s="556"/>
      <c r="G9" s="581"/>
      <c r="H9" s="556"/>
      <c r="I9" s="581"/>
      <c r="J9" s="556"/>
      <c r="K9" s="581"/>
      <c r="L9" s="556"/>
      <c r="M9" s="581"/>
      <c r="N9" s="556"/>
      <c r="O9" s="581"/>
      <c r="P9" s="556"/>
      <c r="Q9" s="581"/>
      <c r="R9" s="556"/>
      <c r="S9" s="581"/>
      <c r="T9" s="556"/>
      <c r="U9" s="581"/>
      <c r="V9" s="556"/>
      <c r="W9" s="581"/>
      <c r="X9" s="556"/>
      <c r="Y9" s="581"/>
      <c r="Z9" s="556"/>
      <c r="AA9" s="581"/>
      <c r="AB9" s="556"/>
      <c r="AC9" s="581"/>
      <c r="AD9" s="556"/>
      <c r="AE9" s="581"/>
      <c r="AF9" s="556"/>
      <c r="AG9" s="581"/>
      <c r="AH9" s="556"/>
      <c r="AI9" s="581"/>
      <c r="AJ9" s="556"/>
      <c r="AK9" s="581"/>
      <c r="AL9" s="556"/>
      <c r="AM9" s="581"/>
      <c r="AN9" s="556"/>
      <c r="AO9" s="581"/>
      <c r="AP9" s="556"/>
      <c r="AQ9" s="581"/>
      <c r="AR9" s="556"/>
      <c r="AS9" s="581"/>
      <c r="AT9" s="556"/>
      <c r="AU9" s="581"/>
      <c r="AV9" s="556"/>
      <c r="AW9" s="581"/>
      <c r="AZ9" s="667">
        <v>2</v>
      </c>
      <c r="BA9" s="696" t="s">
        <v>643</v>
      </c>
      <c r="BB9" s="667" t="s">
        <v>558</v>
      </c>
      <c r="BC9" s="708" t="s">
        <v>249</v>
      </c>
      <c r="BD9" s="709"/>
      <c r="BE9" s="662" t="str">
        <f aca="true" t="shared" si="19" ref="BE9:BE27">IF(OR(ISBLANK(F9),ISBLANK(H9)),"N/A",IF(ABS((H9-F9)/F9)&gt;0.25,"&gt; 25%","ok"))</f>
        <v>N/A</v>
      </c>
      <c r="BF9" s="662"/>
      <c r="BG9" s="662" t="str">
        <f aca="true" t="shared" si="20" ref="BG9:BG27">IF(OR(ISBLANK(H9),ISBLANK(J9)),"N/A",IF(ABS((J9-H9)/H9)&gt;0.25,"&gt; 25%","ok"))</f>
        <v>N/A</v>
      </c>
      <c r="BH9" s="662"/>
      <c r="BI9" s="662" t="str">
        <f t="shared" si="0"/>
        <v>N/A</v>
      </c>
      <c r="BJ9" s="710"/>
      <c r="BK9" s="662" t="str">
        <f t="shared" si="1"/>
        <v>N/A</v>
      </c>
      <c r="BL9" s="667"/>
      <c r="BM9" s="662" t="str">
        <f t="shared" si="2"/>
        <v>N/A</v>
      </c>
      <c r="BN9" s="708"/>
      <c r="BO9" s="662" t="str">
        <f t="shared" si="3"/>
        <v>N/A</v>
      </c>
      <c r="BP9" s="710"/>
      <c r="BQ9" s="662" t="str">
        <f t="shared" si="4"/>
        <v>N/A</v>
      </c>
      <c r="BR9" s="667"/>
      <c r="BS9" s="662" t="str">
        <f t="shared" si="5"/>
        <v>N/A</v>
      </c>
      <c r="BT9" s="709"/>
      <c r="BU9" s="662" t="str">
        <f t="shared" si="6"/>
        <v>N/A</v>
      </c>
      <c r="BV9" s="710"/>
      <c r="BW9" s="662" t="str">
        <f t="shared" si="7"/>
        <v>N/A</v>
      </c>
      <c r="BX9" s="708"/>
      <c r="BY9" s="662" t="str">
        <f t="shared" si="8"/>
        <v>N/A</v>
      </c>
      <c r="BZ9" s="710"/>
      <c r="CA9" s="662" t="str">
        <f t="shared" si="9"/>
        <v>N/A</v>
      </c>
      <c r="CB9" s="667"/>
      <c r="CC9" s="662" t="str">
        <f t="shared" si="10"/>
        <v>N/A</v>
      </c>
      <c r="CD9" s="667"/>
      <c r="CE9" s="662" t="str">
        <f t="shared" si="11"/>
        <v>N/A</v>
      </c>
      <c r="CF9" s="667"/>
      <c r="CG9" s="662" t="str">
        <f t="shared" si="12"/>
        <v>N/A</v>
      </c>
      <c r="CH9" s="708"/>
      <c r="CI9" s="662" t="str">
        <f t="shared" si="13"/>
        <v>N/A</v>
      </c>
      <c r="CJ9" s="667"/>
      <c r="CK9" s="662" t="str">
        <f t="shared" si="14"/>
        <v>N/A</v>
      </c>
      <c r="CL9" s="708"/>
      <c r="CM9" s="662" t="str">
        <f t="shared" si="15"/>
        <v>N/A</v>
      </c>
      <c r="CN9" s="667"/>
      <c r="CO9" s="662" t="str">
        <f t="shared" si="16"/>
        <v>N/A</v>
      </c>
      <c r="CP9" s="667"/>
      <c r="CQ9" s="662" t="str">
        <f t="shared" si="17"/>
        <v>N/A</v>
      </c>
      <c r="CR9" s="667"/>
      <c r="CS9" s="662" t="str">
        <f t="shared" si="18"/>
        <v>N/A</v>
      </c>
      <c r="CT9" s="93"/>
      <c r="CU9" s="60"/>
      <c r="CV9" s="484"/>
      <c r="CW9" s="299"/>
    </row>
    <row r="10" spans="2:101" ht="26.25" customHeight="1">
      <c r="B10" s="507">
        <v>140</v>
      </c>
      <c r="C10" s="389">
        <v>3</v>
      </c>
      <c r="D10" s="470" t="s">
        <v>635</v>
      </c>
      <c r="E10" s="389" t="s">
        <v>368</v>
      </c>
      <c r="F10" s="556"/>
      <c r="G10" s="581"/>
      <c r="H10" s="556"/>
      <c r="I10" s="581"/>
      <c r="J10" s="556"/>
      <c r="K10" s="581"/>
      <c r="L10" s="556"/>
      <c r="M10" s="581"/>
      <c r="N10" s="556"/>
      <c r="O10" s="581"/>
      <c r="P10" s="556"/>
      <c r="Q10" s="581"/>
      <c r="R10" s="556"/>
      <c r="S10" s="581"/>
      <c r="T10" s="556"/>
      <c r="U10" s="581"/>
      <c r="V10" s="556"/>
      <c r="W10" s="581"/>
      <c r="X10" s="556"/>
      <c r="Y10" s="581"/>
      <c r="Z10" s="556"/>
      <c r="AA10" s="581"/>
      <c r="AB10" s="556"/>
      <c r="AC10" s="581"/>
      <c r="AD10" s="556"/>
      <c r="AE10" s="581"/>
      <c r="AF10" s="556"/>
      <c r="AG10" s="581"/>
      <c r="AH10" s="556"/>
      <c r="AI10" s="581"/>
      <c r="AJ10" s="556"/>
      <c r="AK10" s="581"/>
      <c r="AL10" s="556"/>
      <c r="AM10" s="581"/>
      <c r="AN10" s="556"/>
      <c r="AO10" s="581"/>
      <c r="AP10" s="556"/>
      <c r="AQ10" s="581"/>
      <c r="AR10" s="556"/>
      <c r="AS10" s="581"/>
      <c r="AT10" s="556"/>
      <c r="AU10" s="581"/>
      <c r="AV10" s="556"/>
      <c r="AW10" s="581"/>
      <c r="AZ10" s="667">
        <v>3</v>
      </c>
      <c r="BA10" s="696" t="s">
        <v>626</v>
      </c>
      <c r="BB10" s="667" t="s">
        <v>558</v>
      </c>
      <c r="BC10" s="708"/>
      <c r="BD10" s="709"/>
      <c r="BE10" s="662" t="str">
        <f t="shared" si="19"/>
        <v>N/A</v>
      </c>
      <c r="BF10" s="662"/>
      <c r="BG10" s="662" t="str">
        <f t="shared" si="20"/>
        <v>N/A</v>
      </c>
      <c r="BH10" s="662"/>
      <c r="BI10" s="662" t="str">
        <f t="shared" si="0"/>
        <v>N/A</v>
      </c>
      <c r="BJ10" s="710"/>
      <c r="BK10" s="662" t="str">
        <f t="shared" si="1"/>
        <v>N/A</v>
      </c>
      <c r="BL10" s="667"/>
      <c r="BM10" s="662" t="str">
        <f t="shared" si="2"/>
        <v>N/A</v>
      </c>
      <c r="BN10" s="708"/>
      <c r="BO10" s="662" t="str">
        <f t="shared" si="3"/>
        <v>N/A</v>
      </c>
      <c r="BP10" s="710"/>
      <c r="BQ10" s="662" t="str">
        <f t="shared" si="4"/>
        <v>N/A</v>
      </c>
      <c r="BR10" s="667"/>
      <c r="BS10" s="662" t="str">
        <f t="shared" si="5"/>
        <v>N/A</v>
      </c>
      <c r="BT10" s="709"/>
      <c r="BU10" s="662" t="str">
        <f t="shared" si="6"/>
        <v>N/A</v>
      </c>
      <c r="BV10" s="710"/>
      <c r="BW10" s="662" t="str">
        <f t="shared" si="7"/>
        <v>N/A</v>
      </c>
      <c r="BX10" s="708"/>
      <c r="BY10" s="662" t="str">
        <f t="shared" si="8"/>
        <v>N/A</v>
      </c>
      <c r="BZ10" s="710"/>
      <c r="CA10" s="662" t="str">
        <f t="shared" si="9"/>
        <v>N/A</v>
      </c>
      <c r="CB10" s="667"/>
      <c r="CC10" s="662" t="str">
        <f t="shared" si="10"/>
        <v>N/A</v>
      </c>
      <c r="CD10" s="667"/>
      <c r="CE10" s="662" t="str">
        <f t="shared" si="11"/>
        <v>N/A</v>
      </c>
      <c r="CF10" s="667"/>
      <c r="CG10" s="662" t="str">
        <f t="shared" si="12"/>
        <v>N/A</v>
      </c>
      <c r="CH10" s="708"/>
      <c r="CI10" s="662" t="str">
        <f t="shared" si="13"/>
        <v>N/A</v>
      </c>
      <c r="CJ10" s="667"/>
      <c r="CK10" s="662" t="str">
        <f t="shared" si="14"/>
        <v>N/A</v>
      </c>
      <c r="CL10" s="708"/>
      <c r="CM10" s="662" t="str">
        <f t="shared" si="15"/>
        <v>N/A</v>
      </c>
      <c r="CN10" s="667"/>
      <c r="CO10" s="662" t="str">
        <f t="shared" si="16"/>
        <v>N/A</v>
      </c>
      <c r="CP10" s="667"/>
      <c r="CQ10" s="662" t="str">
        <f t="shared" si="17"/>
        <v>N/A</v>
      </c>
      <c r="CR10" s="667"/>
      <c r="CS10" s="662" t="str">
        <f t="shared" si="18"/>
        <v>N/A</v>
      </c>
      <c r="CT10" s="93"/>
      <c r="CU10" s="60"/>
      <c r="CV10" s="484"/>
      <c r="CW10" s="299"/>
    </row>
    <row r="11" spans="2:101" ht="20.25" customHeight="1">
      <c r="B11" s="254">
        <v>155</v>
      </c>
      <c r="C11" s="389">
        <v>4</v>
      </c>
      <c r="D11" s="470" t="s">
        <v>636</v>
      </c>
      <c r="E11" s="389" t="s">
        <v>368</v>
      </c>
      <c r="F11" s="556"/>
      <c r="G11" s="581"/>
      <c r="H11" s="556"/>
      <c r="I11" s="581"/>
      <c r="J11" s="556"/>
      <c r="K11" s="581"/>
      <c r="L11" s="556"/>
      <c r="M11" s="581"/>
      <c r="N11" s="556"/>
      <c r="O11" s="581"/>
      <c r="P11" s="556"/>
      <c r="Q11" s="581"/>
      <c r="R11" s="556"/>
      <c r="S11" s="581"/>
      <c r="T11" s="556"/>
      <c r="U11" s="581"/>
      <c r="V11" s="556"/>
      <c r="W11" s="581"/>
      <c r="X11" s="556"/>
      <c r="Y11" s="581"/>
      <c r="Z11" s="556"/>
      <c r="AA11" s="581"/>
      <c r="AB11" s="556"/>
      <c r="AC11" s="581"/>
      <c r="AD11" s="556"/>
      <c r="AE11" s="581"/>
      <c r="AF11" s="556"/>
      <c r="AG11" s="581"/>
      <c r="AH11" s="556"/>
      <c r="AI11" s="581"/>
      <c r="AJ11" s="556"/>
      <c r="AK11" s="581"/>
      <c r="AL11" s="556"/>
      <c r="AM11" s="581"/>
      <c r="AN11" s="556"/>
      <c r="AO11" s="581"/>
      <c r="AP11" s="556"/>
      <c r="AQ11" s="581"/>
      <c r="AR11" s="556"/>
      <c r="AS11" s="581"/>
      <c r="AT11" s="556"/>
      <c r="AU11" s="581"/>
      <c r="AV11" s="556"/>
      <c r="AW11" s="581"/>
      <c r="AZ11" s="667">
        <v>4</v>
      </c>
      <c r="BA11" s="696" t="s">
        <v>194</v>
      </c>
      <c r="BB11" s="667" t="s">
        <v>558</v>
      </c>
      <c r="BC11" s="708" t="s">
        <v>249</v>
      </c>
      <c r="BD11" s="709"/>
      <c r="BE11" s="662" t="str">
        <f t="shared" si="19"/>
        <v>N/A</v>
      </c>
      <c r="BF11" s="662"/>
      <c r="BG11" s="662" t="str">
        <f t="shared" si="20"/>
        <v>N/A</v>
      </c>
      <c r="BH11" s="662"/>
      <c r="BI11" s="662" t="str">
        <f t="shared" si="0"/>
        <v>N/A</v>
      </c>
      <c r="BJ11" s="710"/>
      <c r="BK11" s="662" t="str">
        <f t="shared" si="1"/>
        <v>N/A</v>
      </c>
      <c r="BL11" s="667"/>
      <c r="BM11" s="662" t="str">
        <f t="shared" si="2"/>
        <v>N/A</v>
      </c>
      <c r="BN11" s="708"/>
      <c r="BO11" s="662" t="str">
        <f t="shared" si="3"/>
        <v>N/A</v>
      </c>
      <c r="BP11" s="710"/>
      <c r="BQ11" s="662" t="str">
        <f t="shared" si="4"/>
        <v>N/A</v>
      </c>
      <c r="BR11" s="667"/>
      <c r="BS11" s="662" t="str">
        <f t="shared" si="5"/>
        <v>N/A</v>
      </c>
      <c r="BT11" s="709"/>
      <c r="BU11" s="662" t="str">
        <f t="shared" si="6"/>
        <v>N/A</v>
      </c>
      <c r="BV11" s="710"/>
      <c r="BW11" s="662" t="str">
        <f t="shared" si="7"/>
        <v>N/A</v>
      </c>
      <c r="BX11" s="708"/>
      <c r="BY11" s="662" t="str">
        <f t="shared" si="8"/>
        <v>N/A</v>
      </c>
      <c r="BZ11" s="710"/>
      <c r="CA11" s="662" t="str">
        <f t="shared" si="9"/>
        <v>N/A</v>
      </c>
      <c r="CB11" s="667"/>
      <c r="CC11" s="662" t="str">
        <f t="shared" si="10"/>
        <v>N/A</v>
      </c>
      <c r="CD11" s="667"/>
      <c r="CE11" s="662" t="str">
        <f t="shared" si="11"/>
        <v>N/A</v>
      </c>
      <c r="CF11" s="667"/>
      <c r="CG11" s="662" t="str">
        <f t="shared" si="12"/>
        <v>N/A</v>
      </c>
      <c r="CH11" s="708"/>
      <c r="CI11" s="662" t="str">
        <f t="shared" si="13"/>
        <v>N/A</v>
      </c>
      <c r="CJ11" s="667"/>
      <c r="CK11" s="662" t="str">
        <f t="shared" si="14"/>
        <v>N/A</v>
      </c>
      <c r="CL11" s="708"/>
      <c r="CM11" s="662" t="str">
        <f t="shared" si="15"/>
        <v>N/A</v>
      </c>
      <c r="CN11" s="667"/>
      <c r="CO11" s="662" t="str">
        <f t="shared" si="16"/>
        <v>N/A</v>
      </c>
      <c r="CP11" s="667"/>
      <c r="CQ11" s="662" t="str">
        <f t="shared" si="17"/>
        <v>N/A</v>
      </c>
      <c r="CR11" s="667"/>
      <c r="CS11" s="662" t="str">
        <f t="shared" si="18"/>
        <v>N/A</v>
      </c>
      <c r="CT11" s="93"/>
      <c r="CU11" s="60"/>
      <c r="CV11" s="484"/>
      <c r="CW11" s="299"/>
    </row>
    <row r="12" spans="2:101" ht="45">
      <c r="B12" s="254">
        <v>142</v>
      </c>
      <c r="C12" s="389">
        <v>5</v>
      </c>
      <c r="D12" s="470" t="s">
        <v>637</v>
      </c>
      <c r="E12" s="389" t="s">
        <v>368</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Z12" s="667">
        <v>5</v>
      </c>
      <c r="BA12" s="696" t="s">
        <v>644</v>
      </c>
      <c r="BB12" s="667" t="s">
        <v>558</v>
      </c>
      <c r="BC12" s="708"/>
      <c r="BD12" s="709"/>
      <c r="BE12" s="662" t="str">
        <f t="shared" si="19"/>
        <v>N/A</v>
      </c>
      <c r="BF12" s="662"/>
      <c r="BG12" s="662" t="str">
        <f t="shared" si="20"/>
        <v>N/A</v>
      </c>
      <c r="BH12" s="662"/>
      <c r="BI12" s="662" t="str">
        <f t="shared" si="0"/>
        <v>N/A</v>
      </c>
      <c r="BJ12" s="710"/>
      <c r="BK12" s="662" t="str">
        <f t="shared" si="1"/>
        <v>N/A</v>
      </c>
      <c r="BL12" s="667"/>
      <c r="BM12" s="662" t="str">
        <f t="shared" si="2"/>
        <v>N/A</v>
      </c>
      <c r="BN12" s="708"/>
      <c r="BO12" s="662" t="str">
        <f t="shared" si="3"/>
        <v>N/A</v>
      </c>
      <c r="BP12" s="710"/>
      <c r="BQ12" s="662" t="str">
        <f t="shared" si="4"/>
        <v>N/A</v>
      </c>
      <c r="BR12" s="667"/>
      <c r="BS12" s="662" t="str">
        <f t="shared" si="5"/>
        <v>N/A</v>
      </c>
      <c r="BT12" s="709"/>
      <c r="BU12" s="662" t="str">
        <f t="shared" si="6"/>
        <v>N/A</v>
      </c>
      <c r="BV12" s="710"/>
      <c r="BW12" s="662" t="str">
        <f t="shared" si="7"/>
        <v>N/A</v>
      </c>
      <c r="BX12" s="708"/>
      <c r="BY12" s="662" t="str">
        <f t="shared" si="8"/>
        <v>N/A</v>
      </c>
      <c r="BZ12" s="710"/>
      <c r="CA12" s="662" t="str">
        <f t="shared" si="9"/>
        <v>N/A</v>
      </c>
      <c r="CB12" s="667"/>
      <c r="CC12" s="662" t="str">
        <f t="shared" si="10"/>
        <v>N/A</v>
      </c>
      <c r="CD12" s="667"/>
      <c r="CE12" s="662" t="str">
        <f t="shared" si="11"/>
        <v>N/A</v>
      </c>
      <c r="CF12" s="667"/>
      <c r="CG12" s="662" t="str">
        <f t="shared" si="12"/>
        <v>N/A</v>
      </c>
      <c r="CH12" s="708"/>
      <c r="CI12" s="662" t="str">
        <f t="shared" si="13"/>
        <v>N/A</v>
      </c>
      <c r="CJ12" s="667"/>
      <c r="CK12" s="662" t="str">
        <f t="shared" si="14"/>
        <v>N/A</v>
      </c>
      <c r="CL12" s="708"/>
      <c r="CM12" s="662" t="str">
        <f t="shared" si="15"/>
        <v>N/A</v>
      </c>
      <c r="CN12" s="667"/>
      <c r="CO12" s="662" t="str">
        <f t="shared" si="16"/>
        <v>N/A</v>
      </c>
      <c r="CP12" s="667"/>
      <c r="CQ12" s="662" t="str">
        <f t="shared" si="17"/>
        <v>N/A</v>
      </c>
      <c r="CR12" s="667"/>
      <c r="CS12" s="662" t="str">
        <f t="shared" si="18"/>
        <v>N/A</v>
      </c>
      <c r="CT12" s="93"/>
      <c r="CU12" s="60"/>
      <c r="CV12" s="484"/>
      <c r="CW12" s="299"/>
    </row>
    <row r="13" spans="2:101" ht="67.5">
      <c r="B13" s="254">
        <v>156</v>
      </c>
      <c r="C13" s="389">
        <v>6</v>
      </c>
      <c r="D13" s="470" t="s">
        <v>638</v>
      </c>
      <c r="E13" s="389" t="s">
        <v>368</v>
      </c>
      <c r="F13" s="556"/>
      <c r="G13" s="581"/>
      <c r="H13" s="556"/>
      <c r="I13" s="581"/>
      <c r="J13" s="556"/>
      <c r="K13" s="581"/>
      <c r="L13" s="556"/>
      <c r="M13" s="581"/>
      <c r="N13" s="556"/>
      <c r="O13" s="581"/>
      <c r="P13" s="556"/>
      <c r="Q13" s="581"/>
      <c r="R13" s="556"/>
      <c r="S13" s="581"/>
      <c r="T13" s="556"/>
      <c r="U13" s="581"/>
      <c r="V13" s="556"/>
      <c r="W13" s="581"/>
      <c r="X13" s="556"/>
      <c r="Y13" s="581"/>
      <c r="Z13" s="556"/>
      <c r="AA13" s="581"/>
      <c r="AB13" s="556"/>
      <c r="AC13" s="581"/>
      <c r="AD13" s="556"/>
      <c r="AE13" s="581"/>
      <c r="AF13" s="556"/>
      <c r="AG13" s="581"/>
      <c r="AH13" s="556"/>
      <c r="AI13" s="581"/>
      <c r="AJ13" s="556"/>
      <c r="AK13" s="581"/>
      <c r="AL13" s="556"/>
      <c r="AM13" s="581"/>
      <c r="AN13" s="556"/>
      <c r="AO13" s="581"/>
      <c r="AP13" s="556"/>
      <c r="AQ13" s="581"/>
      <c r="AR13" s="556"/>
      <c r="AS13" s="581"/>
      <c r="AT13" s="556"/>
      <c r="AU13" s="581"/>
      <c r="AV13" s="556"/>
      <c r="AW13" s="581"/>
      <c r="AZ13" s="667">
        <v>6</v>
      </c>
      <c r="BA13" s="696" t="s">
        <v>645</v>
      </c>
      <c r="BB13" s="667" t="s">
        <v>558</v>
      </c>
      <c r="BC13" s="708" t="s">
        <v>249</v>
      </c>
      <c r="BD13" s="709"/>
      <c r="BE13" s="662" t="str">
        <f t="shared" si="19"/>
        <v>N/A</v>
      </c>
      <c r="BF13" s="662"/>
      <c r="BG13" s="662" t="str">
        <f t="shared" si="20"/>
        <v>N/A</v>
      </c>
      <c r="BH13" s="662"/>
      <c r="BI13" s="662" t="str">
        <f t="shared" si="0"/>
        <v>N/A</v>
      </c>
      <c r="BJ13" s="710"/>
      <c r="BK13" s="662" t="str">
        <f t="shared" si="1"/>
        <v>N/A</v>
      </c>
      <c r="BL13" s="667"/>
      <c r="BM13" s="662" t="str">
        <f t="shared" si="2"/>
        <v>N/A</v>
      </c>
      <c r="BN13" s="708"/>
      <c r="BO13" s="662" t="str">
        <f t="shared" si="3"/>
        <v>N/A</v>
      </c>
      <c r="BP13" s="710"/>
      <c r="BQ13" s="662" t="str">
        <f t="shared" si="4"/>
        <v>N/A</v>
      </c>
      <c r="BR13" s="667"/>
      <c r="BS13" s="662" t="str">
        <f t="shared" si="5"/>
        <v>N/A</v>
      </c>
      <c r="BT13" s="709"/>
      <c r="BU13" s="662" t="str">
        <f t="shared" si="6"/>
        <v>N/A</v>
      </c>
      <c r="BV13" s="710"/>
      <c r="BW13" s="662" t="str">
        <f t="shared" si="7"/>
        <v>N/A</v>
      </c>
      <c r="BX13" s="708"/>
      <c r="BY13" s="662" t="str">
        <f t="shared" si="8"/>
        <v>N/A</v>
      </c>
      <c r="BZ13" s="710"/>
      <c r="CA13" s="662" t="str">
        <f t="shared" si="9"/>
        <v>N/A</v>
      </c>
      <c r="CB13" s="667"/>
      <c r="CC13" s="662" t="str">
        <f t="shared" si="10"/>
        <v>N/A</v>
      </c>
      <c r="CD13" s="667"/>
      <c r="CE13" s="662" t="str">
        <f t="shared" si="11"/>
        <v>N/A</v>
      </c>
      <c r="CF13" s="667"/>
      <c r="CG13" s="662" t="str">
        <f t="shared" si="12"/>
        <v>N/A</v>
      </c>
      <c r="CH13" s="708"/>
      <c r="CI13" s="662" t="str">
        <f t="shared" si="13"/>
        <v>N/A</v>
      </c>
      <c r="CJ13" s="667"/>
      <c r="CK13" s="662" t="str">
        <f t="shared" si="14"/>
        <v>N/A</v>
      </c>
      <c r="CL13" s="708"/>
      <c r="CM13" s="662" t="str">
        <f t="shared" si="15"/>
        <v>N/A</v>
      </c>
      <c r="CN13" s="667"/>
      <c r="CO13" s="662" t="str">
        <f t="shared" si="16"/>
        <v>N/A</v>
      </c>
      <c r="CP13" s="667"/>
      <c r="CQ13" s="662" t="str">
        <f t="shared" si="17"/>
        <v>N/A</v>
      </c>
      <c r="CR13" s="667"/>
      <c r="CS13" s="662" t="str">
        <f t="shared" si="18"/>
        <v>N/A</v>
      </c>
      <c r="CT13" s="93"/>
      <c r="CU13" s="60"/>
      <c r="CV13" s="484"/>
      <c r="CW13" s="299"/>
    </row>
    <row r="14" spans="2:101" ht="20.25" customHeight="1">
      <c r="B14" s="254">
        <v>144</v>
      </c>
      <c r="C14" s="389">
        <v>7</v>
      </c>
      <c r="D14" s="470" t="s">
        <v>639</v>
      </c>
      <c r="E14" s="389" t="s">
        <v>368</v>
      </c>
      <c r="F14" s="556"/>
      <c r="G14" s="581"/>
      <c r="H14" s="556"/>
      <c r="I14" s="581"/>
      <c r="J14" s="556"/>
      <c r="K14" s="581"/>
      <c r="L14" s="556"/>
      <c r="M14" s="581"/>
      <c r="N14" s="556"/>
      <c r="O14" s="581"/>
      <c r="P14" s="556"/>
      <c r="Q14" s="581"/>
      <c r="R14" s="556"/>
      <c r="S14" s="581"/>
      <c r="T14" s="556"/>
      <c r="U14" s="581"/>
      <c r="V14" s="556"/>
      <c r="W14" s="581"/>
      <c r="X14" s="556"/>
      <c r="Y14" s="581"/>
      <c r="Z14" s="556"/>
      <c r="AA14" s="581"/>
      <c r="AB14" s="556"/>
      <c r="AC14" s="581"/>
      <c r="AD14" s="556"/>
      <c r="AE14" s="581"/>
      <c r="AF14" s="556"/>
      <c r="AG14" s="581"/>
      <c r="AH14" s="556"/>
      <c r="AI14" s="581"/>
      <c r="AJ14" s="556"/>
      <c r="AK14" s="581"/>
      <c r="AL14" s="556"/>
      <c r="AM14" s="581"/>
      <c r="AN14" s="556"/>
      <c r="AO14" s="581"/>
      <c r="AP14" s="556"/>
      <c r="AQ14" s="581"/>
      <c r="AR14" s="556"/>
      <c r="AS14" s="581"/>
      <c r="AT14" s="556"/>
      <c r="AU14" s="581"/>
      <c r="AV14" s="556"/>
      <c r="AW14" s="581"/>
      <c r="AZ14" s="667">
        <v>7</v>
      </c>
      <c r="BA14" s="696" t="s">
        <v>629</v>
      </c>
      <c r="BB14" s="667" t="s">
        <v>558</v>
      </c>
      <c r="BC14" s="708"/>
      <c r="BD14" s="709"/>
      <c r="BE14" s="662" t="str">
        <f t="shared" si="19"/>
        <v>N/A</v>
      </c>
      <c r="BF14" s="662"/>
      <c r="BG14" s="662" t="str">
        <f t="shared" si="20"/>
        <v>N/A</v>
      </c>
      <c r="BH14" s="662"/>
      <c r="BI14" s="662" t="str">
        <f t="shared" si="0"/>
        <v>N/A</v>
      </c>
      <c r="BJ14" s="710"/>
      <c r="BK14" s="662" t="str">
        <f t="shared" si="1"/>
        <v>N/A</v>
      </c>
      <c r="BL14" s="667"/>
      <c r="BM14" s="662" t="str">
        <f t="shared" si="2"/>
        <v>N/A</v>
      </c>
      <c r="BN14" s="708"/>
      <c r="BO14" s="662" t="str">
        <f t="shared" si="3"/>
        <v>N/A</v>
      </c>
      <c r="BP14" s="710"/>
      <c r="BQ14" s="662" t="str">
        <f t="shared" si="4"/>
        <v>N/A</v>
      </c>
      <c r="BR14" s="667"/>
      <c r="BS14" s="662" t="str">
        <f t="shared" si="5"/>
        <v>N/A</v>
      </c>
      <c r="BT14" s="709"/>
      <c r="BU14" s="662" t="str">
        <f t="shared" si="6"/>
        <v>N/A</v>
      </c>
      <c r="BV14" s="710"/>
      <c r="BW14" s="662" t="str">
        <f t="shared" si="7"/>
        <v>N/A</v>
      </c>
      <c r="BX14" s="708"/>
      <c r="BY14" s="662" t="str">
        <f t="shared" si="8"/>
        <v>N/A</v>
      </c>
      <c r="BZ14" s="710"/>
      <c r="CA14" s="662" t="str">
        <f t="shared" si="9"/>
        <v>N/A</v>
      </c>
      <c r="CB14" s="667"/>
      <c r="CC14" s="662" t="str">
        <f t="shared" si="10"/>
        <v>N/A</v>
      </c>
      <c r="CD14" s="667"/>
      <c r="CE14" s="662" t="str">
        <f t="shared" si="11"/>
        <v>N/A</v>
      </c>
      <c r="CF14" s="667"/>
      <c r="CG14" s="662" t="str">
        <f t="shared" si="12"/>
        <v>N/A</v>
      </c>
      <c r="CH14" s="708"/>
      <c r="CI14" s="662" t="str">
        <f t="shared" si="13"/>
        <v>N/A</v>
      </c>
      <c r="CJ14" s="667"/>
      <c r="CK14" s="662" t="str">
        <f t="shared" si="14"/>
        <v>N/A</v>
      </c>
      <c r="CL14" s="708"/>
      <c r="CM14" s="662" t="str">
        <f t="shared" si="15"/>
        <v>N/A</v>
      </c>
      <c r="CN14" s="667"/>
      <c r="CO14" s="662" t="str">
        <f t="shared" si="16"/>
        <v>N/A</v>
      </c>
      <c r="CP14" s="667"/>
      <c r="CQ14" s="662" t="str">
        <f t="shared" si="17"/>
        <v>N/A</v>
      </c>
      <c r="CR14" s="667"/>
      <c r="CS14" s="662" t="str">
        <f t="shared" si="18"/>
        <v>N/A</v>
      </c>
      <c r="CT14" s="93"/>
      <c r="CU14" s="60"/>
      <c r="CV14" s="484"/>
      <c r="CW14" s="299"/>
    </row>
    <row r="15" spans="2:101" ht="20.25" customHeight="1">
      <c r="B15" s="254">
        <v>146</v>
      </c>
      <c r="C15" s="389">
        <v>8</v>
      </c>
      <c r="D15" s="470" t="s">
        <v>640</v>
      </c>
      <c r="E15" s="389" t="s">
        <v>368</v>
      </c>
      <c r="F15" s="556"/>
      <c r="G15" s="581"/>
      <c r="H15" s="556"/>
      <c r="I15" s="581"/>
      <c r="J15" s="556"/>
      <c r="K15" s="581"/>
      <c r="L15" s="556"/>
      <c r="M15" s="581"/>
      <c r="N15" s="556"/>
      <c r="O15" s="581"/>
      <c r="P15" s="556"/>
      <c r="Q15" s="581"/>
      <c r="R15" s="556"/>
      <c r="S15" s="581"/>
      <c r="T15" s="556"/>
      <c r="U15" s="581"/>
      <c r="V15" s="556"/>
      <c r="W15" s="581"/>
      <c r="X15" s="556"/>
      <c r="Y15" s="581"/>
      <c r="Z15" s="556"/>
      <c r="AA15" s="581"/>
      <c r="AB15" s="556"/>
      <c r="AC15" s="581"/>
      <c r="AD15" s="556"/>
      <c r="AE15" s="581"/>
      <c r="AF15" s="556"/>
      <c r="AG15" s="581"/>
      <c r="AH15" s="556"/>
      <c r="AI15" s="581"/>
      <c r="AJ15" s="556"/>
      <c r="AK15" s="581"/>
      <c r="AL15" s="556"/>
      <c r="AM15" s="581"/>
      <c r="AN15" s="556"/>
      <c r="AO15" s="581"/>
      <c r="AP15" s="556"/>
      <c r="AQ15" s="581"/>
      <c r="AR15" s="556"/>
      <c r="AS15" s="581"/>
      <c r="AT15" s="556"/>
      <c r="AU15" s="581"/>
      <c r="AV15" s="556"/>
      <c r="AW15" s="581"/>
      <c r="AZ15" s="667">
        <v>8</v>
      </c>
      <c r="BA15" s="696" t="s">
        <v>24</v>
      </c>
      <c r="BB15" s="667" t="s">
        <v>558</v>
      </c>
      <c r="BC15" s="708" t="s">
        <v>249</v>
      </c>
      <c r="BD15" s="709"/>
      <c r="BE15" s="662" t="str">
        <f t="shared" si="19"/>
        <v>N/A</v>
      </c>
      <c r="BF15" s="662"/>
      <c r="BG15" s="662" t="str">
        <f t="shared" si="20"/>
        <v>N/A</v>
      </c>
      <c r="BH15" s="662"/>
      <c r="BI15" s="662" t="str">
        <f t="shared" si="0"/>
        <v>N/A</v>
      </c>
      <c r="BJ15" s="710"/>
      <c r="BK15" s="662" t="str">
        <f t="shared" si="1"/>
        <v>N/A</v>
      </c>
      <c r="BL15" s="667"/>
      <c r="BM15" s="662" t="str">
        <f t="shared" si="2"/>
        <v>N/A</v>
      </c>
      <c r="BN15" s="708"/>
      <c r="BO15" s="662" t="str">
        <f t="shared" si="3"/>
        <v>N/A</v>
      </c>
      <c r="BP15" s="710"/>
      <c r="BQ15" s="662" t="str">
        <f t="shared" si="4"/>
        <v>N/A</v>
      </c>
      <c r="BR15" s="667"/>
      <c r="BS15" s="662" t="str">
        <f t="shared" si="5"/>
        <v>N/A</v>
      </c>
      <c r="BT15" s="709"/>
      <c r="BU15" s="662" t="str">
        <f t="shared" si="6"/>
        <v>N/A</v>
      </c>
      <c r="BV15" s="710"/>
      <c r="BW15" s="662" t="str">
        <f t="shared" si="7"/>
        <v>N/A</v>
      </c>
      <c r="BX15" s="708"/>
      <c r="BY15" s="662" t="str">
        <f t="shared" si="8"/>
        <v>N/A</v>
      </c>
      <c r="BZ15" s="710"/>
      <c r="CA15" s="662" t="str">
        <f t="shared" si="9"/>
        <v>N/A</v>
      </c>
      <c r="CB15" s="667"/>
      <c r="CC15" s="662" t="str">
        <f t="shared" si="10"/>
        <v>N/A</v>
      </c>
      <c r="CD15" s="667"/>
      <c r="CE15" s="662" t="str">
        <f t="shared" si="11"/>
        <v>N/A</v>
      </c>
      <c r="CF15" s="667"/>
      <c r="CG15" s="662" t="str">
        <f t="shared" si="12"/>
        <v>N/A</v>
      </c>
      <c r="CH15" s="708"/>
      <c r="CI15" s="662" t="str">
        <f t="shared" si="13"/>
        <v>N/A</v>
      </c>
      <c r="CJ15" s="667"/>
      <c r="CK15" s="662" t="str">
        <f t="shared" si="14"/>
        <v>N/A</v>
      </c>
      <c r="CL15" s="708"/>
      <c r="CM15" s="662" t="str">
        <f t="shared" si="15"/>
        <v>N/A</v>
      </c>
      <c r="CN15" s="667"/>
      <c r="CO15" s="662" t="str">
        <f t="shared" si="16"/>
        <v>N/A</v>
      </c>
      <c r="CP15" s="667"/>
      <c r="CQ15" s="662" t="str">
        <f t="shared" si="17"/>
        <v>N/A</v>
      </c>
      <c r="CR15" s="667"/>
      <c r="CS15" s="662" t="str">
        <f t="shared" si="18"/>
        <v>N/A</v>
      </c>
      <c r="CT15" s="93"/>
      <c r="CU15" s="60"/>
      <c r="CV15" s="484"/>
      <c r="CW15" s="299"/>
    </row>
    <row r="16" spans="2:101" ht="20.25" customHeight="1">
      <c r="B16" s="254">
        <v>159</v>
      </c>
      <c r="C16" s="389">
        <v>9</v>
      </c>
      <c r="D16" s="470" t="s">
        <v>641</v>
      </c>
      <c r="E16" s="389" t="s">
        <v>368</v>
      </c>
      <c r="F16" s="556"/>
      <c r="G16" s="581"/>
      <c r="H16" s="556"/>
      <c r="I16" s="581"/>
      <c r="J16" s="556"/>
      <c r="K16" s="581"/>
      <c r="L16" s="556"/>
      <c r="M16" s="581"/>
      <c r="N16" s="556"/>
      <c r="O16" s="581"/>
      <c r="P16" s="556"/>
      <c r="Q16" s="581"/>
      <c r="R16" s="556"/>
      <c r="S16" s="581"/>
      <c r="T16" s="556"/>
      <c r="U16" s="581"/>
      <c r="V16" s="556"/>
      <c r="W16" s="581"/>
      <c r="X16" s="556"/>
      <c r="Y16" s="581"/>
      <c r="Z16" s="556"/>
      <c r="AA16" s="581"/>
      <c r="AB16" s="556"/>
      <c r="AC16" s="581"/>
      <c r="AD16" s="556"/>
      <c r="AE16" s="581"/>
      <c r="AF16" s="556"/>
      <c r="AG16" s="581"/>
      <c r="AH16" s="556"/>
      <c r="AI16" s="581"/>
      <c r="AJ16" s="556"/>
      <c r="AK16" s="581"/>
      <c r="AL16" s="556"/>
      <c r="AM16" s="581"/>
      <c r="AN16" s="556"/>
      <c r="AO16" s="581"/>
      <c r="AP16" s="556"/>
      <c r="AQ16" s="581"/>
      <c r="AR16" s="556"/>
      <c r="AS16" s="581"/>
      <c r="AT16" s="556"/>
      <c r="AU16" s="581"/>
      <c r="AV16" s="556"/>
      <c r="AW16" s="581"/>
      <c r="AZ16" s="667">
        <v>9</v>
      </c>
      <c r="BA16" s="696" t="s">
        <v>23</v>
      </c>
      <c r="BB16" s="667" t="s">
        <v>558</v>
      </c>
      <c r="BC16" s="708" t="s">
        <v>249</v>
      </c>
      <c r="BD16" s="709"/>
      <c r="BE16" s="662" t="str">
        <f t="shared" si="19"/>
        <v>N/A</v>
      </c>
      <c r="BF16" s="662"/>
      <c r="BG16" s="662" t="str">
        <f t="shared" si="20"/>
        <v>N/A</v>
      </c>
      <c r="BH16" s="662"/>
      <c r="BI16" s="662" t="str">
        <f t="shared" si="0"/>
        <v>N/A</v>
      </c>
      <c r="BJ16" s="710"/>
      <c r="BK16" s="662" t="str">
        <f t="shared" si="1"/>
        <v>N/A</v>
      </c>
      <c r="BL16" s="667"/>
      <c r="BM16" s="662" t="str">
        <f t="shared" si="2"/>
        <v>N/A</v>
      </c>
      <c r="BN16" s="710"/>
      <c r="BO16" s="662" t="str">
        <f t="shared" si="3"/>
        <v>N/A</v>
      </c>
      <c r="BP16" s="667"/>
      <c r="BQ16" s="662" t="str">
        <f t="shared" si="4"/>
        <v>N/A</v>
      </c>
      <c r="BR16" s="709"/>
      <c r="BS16" s="662" t="str">
        <f t="shared" si="5"/>
        <v>N/A</v>
      </c>
      <c r="BT16" s="710"/>
      <c r="BU16" s="662" t="str">
        <f t="shared" si="6"/>
        <v>N/A</v>
      </c>
      <c r="BV16" s="667"/>
      <c r="BW16" s="662" t="str">
        <f t="shared" si="7"/>
        <v>N/A</v>
      </c>
      <c r="BX16" s="709"/>
      <c r="BY16" s="662" t="str">
        <f t="shared" si="8"/>
        <v>N/A</v>
      </c>
      <c r="BZ16" s="667"/>
      <c r="CA16" s="662" t="str">
        <f t="shared" si="9"/>
        <v>N/A</v>
      </c>
      <c r="CB16" s="667"/>
      <c r="CC16" s="662" t="str">
        <f t="shared" si="10"/>
        <v>N/A</v>
      </c>
      <c r="CD16" s="710"/>
      <c r="CE16" s="662" t="str">
        <f t="shared" si="11"/>
        <v>N/A</v>
      </c>
      <c r="CF16" s="710"/>
      <c r="CG16" s="662" t="str">
        <f t="shared" si="12"/>
        <v>N/A</v>
      </c>
      <c r="CH16" s="667"/>
      <c r="CI16" s="662" t="str">
        <f t="shared" si="13"/>
        <v>N/A</v>
      </c>
      <c r="CJ16" s="709"/>
      <c r="CK16" s="662" t="str">
        <f t="shared" si="14"/>
        <v>N/A</v>
      </c>
      <c r="CL16" s="667"/>
      <c r="CM16" s="662" t="str">
        <f t="shared" si="15"/>
        <v>N/A</v>
      </c>
      <c r="CN16" s="709"/>
      <c r="CO16" s="662" t="str">
        <f t="shared" si="16"/>
        <v>N/A</v>
      </c>
      <c r="CP16" s="709"/>
      <c r="CQ16" s="662" t="str">
        <f t="shared" si="17"/>
        <v>N/A</v>
      </c>
      <c r="CR16" s="709"/>
      <c r="CS16" s="662" t="str">
        <f t="shared" si="18"/>
        <v>N/A</v>
      </c>
      <c r="CT16" s="60"/>
      <c r="CU16" s="60"/>
      <c r="CV16" s="484"/>
      <c r="CW16" s="299"/>
    </row>
    <row r="17" spans="2:101" ht="26.25" customHeight="1">
      <c r="B17" s="254">
        <v>89</v>
      </c>
      <c r="C17" s="389">
        <v>10</v>
      </c>
      <c r="D17" s="470" t="s">
        <v>361</v>
      </c>
      <c r="E17" s="389" t="s">
        <v>368</v>
      </c>
      <c r="F17" s="556"/>
      <c r="G17" s="581"/>
      <c r="H17" s="556"/>
      <c r="I17" s="581"/>
      <c r="J17" s="556"/>
      <c r="K17" s="581"/>
      <c r="L17" s="556"/>
      <c r="M17" s="581"/>
      <c r="N17" s="556"/>
      <c r="O17" s="581"/>
      <c r="P17" s="556"/>
      <c r="Q17" s="581"/>
      <c r="R17" s="556"/>
      <c r="S17" s="581"/>
      <c r="T17" s="556"/>
      <c r="U17" s="581"/>
      <c r="V17" s="556"/>
      <c r="W17" s="581"/>
      <c r="X17" s="556"/>
      <c r="Y17" s="581"/>
      <c r="Z17" s="556"/>
      <c r="AA17" s="581"/>
      <c r="AB17" s="556"/>
      <c r="AC17" s="581"/>
      <c r="AD17" s="556"/>
      <c r="AE17" s="581"/>
      <c r="AF17" s="556"/>
      <c r="AG17" s="581"/>
      <c r="AH17" s="556"/>
      <c r="AI17" s="581"/>
      <c r="AJ17" s="556"/>
      <c r="AK17" s="581"/>
      <c r="AL17" s="556"/>
      <c r="AM17" s="581"/>
      <c r="AN17" s="556"/>
      <c r="AO17" s="581"/>
      <c r="AP17" s="556"/>
      <c r="AQ17" s="581"/>
      <c r="AR17" s="556"/>
      <c r="AS17" s="581"/>
      <c r="AT17" s="556"/>
      <c r="AU17" s="581"/>
      <c r="AV17" s="556"/>
      <c r="AW17" s="581"/>
      <c r="AZ17" s="667">
        <v>10</v>
      </c>
      <c r="BA17" s="668" t="s">
        <v>261</v>
      </c>
      <c r="BB17" s="667" t="s">
        <v>558</v>
      </c>
      <c r="BC17" s="708" t="s">
        <v>249</v>
      </c>
      <c r="BD17" s="709"/>
      <c r="BE17" s="662" t="str">
        <f t="shared" si="19"/>
        <v>N/A</v>
      </c>
      <c r="BF17" s="662"/>
      <c r="BG17" s="662" t="str">
        <f t="shared" si="20"/>
        <v>N/A</v>
      </c>
      <c r="BH17" s="662"/>
      <c r="BI17" s="662" t="str">
        <f t="shared" si="0"/>
        <v>N/A</v>
      </c>
      <c r="BJ17" s="710"/>
      <c r="BK17" s="662" t="str">
        <f t="shared" si="1"/>
        <v>N/A</v>
      </c>
      <c r="BL17" s="667"/>
      <c r="BM17" s="662" t="str">
        <f t="shared" si="2"/>
        <v>N/A</v>
      </c>
      <c r="BN17" s="710"/>
      <c r="BO17" s="662" t="str">
        <f t="shared" si="3"/>
        <v>N/A</v>
      </c>
      <c r="BP17" s="667"/>
      <c r="BQ17" s="662" t="str">
        <f t="shared" si="4"/>
        <v>N/A</v>
      </c>
      <c r="BR17" s="709"/>
      <c r="BS17" s="662" t="str">
        <f t="shared" si="5"/>
        <v>N/A</v>
      </c>
      <c r="BT17" s="710"/>
      <c r="BU17" s="662" t="str">
        <f t="shared" si="6"/>
        <v>N/A</v>
      </c>
      <c r="BV17" s="667"/>
      <c r="BW17" s="662" t="str">
        <f t="shared" si="7"/>
        <v>N/A</v>
      </c>
      <c r="BX17" s="709"/>
      <c r="BY17" s="662" t="str">
        <f t="shared" si="8"/>
        <v>N/A</v>
      </c>
      <c r="BZ17" s="667"/>
      <c r="CA17" s="662" t="str">
        <f t="shared" si="9"/>
        <v>N/A</v>
      </c>
      <c r="CB17" s="667"/>
      <c r="CC17" s="662" t="str">
        <f t="shared" si="10"/>
        <v>N/A</v>
      </c>
      <c r="CD17" s="710"/>
      <c r="CE17" s="662" t="str">
        <f t="shared" si="11"/>
        <v>N/A</v>
      </c>
      <c r="CF17" s="710"/>
      <c r="CG17" s="662" t="str">
        <f t="shared" si="12"/>
        <v>N/A</v>
      </c>
      <c r="CH17" s="667"/>
      <c r="CI17" s="662" t="str">
        <f t="shared" si="13"/>
        <v>N/A</v>
      </c>
      <c r="CJ17" s="709"/>
      <c r="CK17" s="662" t="str">
        <f t="shared" si="14"/>
        <v>N/A</v>
      </c>
      <c r="CL17" s="667"/>
      <c r="CM17" s="662" t="str">
        <f t="shared" si="15"/>
        <v>N/A</v>
      </c>
      <c r="CN17" s="709"/>
      <c r="CO17" s="662" t="str">
        <f t="shared" si="16"/>
        <v>N/A</v>
      </c>
      <c r="CP17" s="709"/>
      <c r="CQ17" s="662" t="str">
        <f t="shared" si="17"/>
        <v>N/A</v>
      </c>
      <c r="CR17" s="709"/>
      <c r="CS17" s="662" t="str">
        <f t="shared" si="18"/>
        <v>N/A</v>
      </c>
      <c r="CT17" s="60"/>
      <c r="CU17" s="60"/>
      <c r="CV17" s="484"/>
      <c r="CW17" s="299"/>
    </row>
    <row r="18" spans="2:101" ht="20.25" customHeight="1">
      <c r="B18" s="254">
        <v>94</v>
      </c>
      <c r="C18" s="389">
        <v>11</v>
      </c>
      <c r="D18" s="463" t="s">
        <v>699</v>
      </c>
      <c r="E18" s="389" t="s">
        <v>368</v>
      </c>
      <c r="F18" s="556"/>
      <c r="G18" s="581"/>
      <c r="H18" s="556"/>
      <c r="I18" s="581"/>
      <c r="J18" s="556"/>
      <c r="K18" s="581"/>
      <c r="L18" s="556"/>
      <c r="M18" s="581"/>
      <c r="N18" s="556"/>
      <c r="O18" s="581"/>
      <c r="P18" s="556"/>
      <c r="Q18" s="581"/>
      <c r="R18" s="556"/>
      <c r="S18" s="581"/>
      <c r="T18" s="556"/>
      <c r="U18" s="581"/>
      <c r="V18" s="556"/>
      <c r="W18" s="581"/>
      <c r="X18" s="556"/>
      <c r="Y18" s="581"/>
      <c r="Z18" s="556"/>
      <c r="AA18" s="581"/>
      <c r="AB18" s="556"/>
      <c r="AC18" s="581"/>
      <c r="AD18" s="556"/>
      <c r="AE18" s="581"/>
      <c r="AF18" s="556"/>
      <c r="AG18" s="581"/>
      <c r="AH18" s="556"/>
      <c r="AI18" s="581"/>
      <c r="AJ18" s="556"/>
      <c r="AK18" s="581"/>
      <c r="AL18" s="556"/>
      <c r="AM18" s="581"/>
      <c r="AN18" s="556"/>
      <c r="AO18" s="581"/>
      <c r="AP18" s="556"/>
      <c r="AQ18" s="581"/>
      <c r="AR18" s="556"/>
      <c r="AS18" s="581"/>
      <c r="AT18" s="556"/>
      <c r="AU18" s="581"/>
      <c r="AV18" s="556"/>
      <c r="AW18" s="581"/>
      <c r="AZ18" s="667">
        <v>11</v>
      </c>
      <c r="BA18" s="696" t="s">
        <v>646</v>
      </c>
      <c r="BB18" s="667" t="s">
        <v>558</v>
      </c>
      <c r="BC18" s="708" t="s">
        <v>249</v>
      </c>
      <c r="BD18" s="709"/>
      <c r="BE18" s="662" t="str">
        <f t="shared" si="19"/>
        <v>N/A</v>
      </c>
      <c r="BF18" s="662"/>
      <c r="BG18" s="662" t="str">
        <f t="shared" si="20"/>
        <v>N/A</v>
      </c>
      <c r="BH18" s="662"/>
      <c r="BI18" s="662" t="str">
        <f t="shared" si="0"/>
        <v>N/A</v>
      </c>
      <c r="BJ18" s="710"/>
      <c r="BK18" s="662" t="str">
        <f t="shared" si="1"/>
        <v>N/A</v>
      </c>
      <c r="BL18" s="667"/>
      <c r="BM18" s="662" t="str">
        <f t="shared" si="2"/>
        <v>N/A</v>
      </c>
      <c r="BN18" s="710"/>
      <c r="BO18" s="662" t="str">
        <f t="shared" si="3"/>
        <v>N/A</v>
      </c>
      <c r="BP18" s="667"/>
      <c r="BQ18" s="662" t="str">
        <f t="shared" si="4"/>
        <v>N/A</v>
      </c>
      <c r="BR18" s="709"/>
      <c r="BS18" s="662" t="str">
        <f t="shared" si="5"/>
        <v>N/A</v>
      </c>
      <c r="BT18" s="710"/>
      <c r="BU18" s="662" t="str">
        <f t="shared" si="6"/>
        <v>N/A</v>
      </c>
      <c r="BV18" s="667"/>
      <c r="BW18" s="662" t="str">
        <f t="shared" si="7"/>
        <v>N/A</v>
      </c>
      <c r="BX18" s="709"/>
      <c r="BY18" s="662" t="str">
        <f t="shared" si="8"/>
        <v>N/A</v>
      </c>
      <c r="BZ18" s="667"/>
      <c r="CA18" s="662" t="str">
        <f t="shared" si="9"/>
        <v>N/A</v>
      </c>
      <c r="CB18" s="667"/>
      <c r="CC18" s="662" t="str">
        <f t="shared" si="10"/>
        <v>N/A</v>
      </c>
      <c r="CD18" s="710"/>
      <c r="CE18" s="662" t="str">
        <f t="shared" si="11"/>
        <v>N/A</v>
      </c>
      <c r="CF18" s="710"/>
      <c r="CG18" s="662" t="str">
        <f t="shared" si="12"/>
        <v>N/A</v>
      </c>
      <c r="CH18" s="667"/>
      <c r="CI18" s="662" t="str">
        <f t="shared" si="13"/>
        <v>N/A</v>
      </c>
      <c r="CJ18" s="709"/>
      <c r="CK18" s="662" t="str">
        <f t="shared" si="14"/>
        <v>N/A</v>
      </c>
      <c r="CL18" s="667"/>
      <c r="CM18" s="662" t="str">
        <f t="shared" si="15"/>
        <v>N/A</v>
      </c>
      <c r="CN18" s="709"/>
      <c r="CO18" s="662" t="str">
        <f t="shared" si="16"/>
        <v>N/A</v>
      </c>
      <c r="CP18" s="709"/>
      <c r="CQ18" s="662" t="str">
        <f t="shared" si="17"/>
        <v>N/A</v>
      </c>
      <c r="CR18" s="709"/>
      <c r="CS18" s="662" t="str">
        <f t="shared" si="18"/>
        <v>N/A</v>
      </c>
      <c r="CT18" s="60"/>
      <c r="CU18" s="60"/>
      <c r="CV18" s="484"/>
      <c r="CW18" s="299"/>
    </row>
    <row r="19" spans="2:101" ht="20.25" customHeight="1">
      <c r="B19" s="254">
        <v>98</v>
      </c>
      <c r="C19" s="389">
        <v>12</v>
      </c>
      <c r="D19" s="463" t="s">
        <v>363</v>
      </c>
      <c r="E19" s="389" t="s">
        <v>368</v>
      </c>
      <c r="F19" s="556"/>
      <c r="G19" s="581"/>
      <c r="H19" s="556"/>
      <c r="I19" s="581"/>
      <c r="J19" s="556"/>
      <c r="K19" s="581"/>
      <c r="L19" s="556"/>
      <c r="M19" s="581"/>
      <c r="N19" s="556"/>
      <c r="O19" s="581"/>
      <c r="P19" s="556"/>
      <c r="Q19" s="581"/>
      <c r="R19" s="556"/>
      <c r="S19" s="581"/>
      <c r="T19" s="556"/>
      <c r="U19" s="581"/>
      <c r="V19" s="556"/>
      <c r="W19" s="581"/>
      <c r="X19" s="556"/>
      <c r="Y19" s="581"/>
      <c r="Z19" s="556"/>
      <c r="AA19" s="581"/>
      <c r="AB19" s="556"/>
      <c r="AC19" s="581"/>
      <c r="AD19" s="556"/>
      <c r="AE19" s="581"/>
      <c r="AF19" s="556"/>
      <c r="AG19" s="581"/>
      <c r="AH19" s="556"/>
      <c r="AI19" s="581"/>
      <c r="AJ19" s="556"/>
      <c r="AK19" s="581"/>
      <c r="AL19" s="556"/>
      <c r="AM19" s="581"/>
      <c r="AN19" s="556"/>
      <c r="AO19" s="581"/>
      <c r="AP19" s="556"/>
      <c r="AQ19" s="581"/>
      <c r="AR19" s="556"/>
      <c r="AS19" s="581"/>
      <c r="AT19" s="556"/>
      <c r="AU19" s="581"/>
      <c r="AV19" s="556"/>
      <c r="AW19" s="581"/>
      <c r="AZ19" s="667">
        <v>12</v>
      </c>
      <c r="BA19" s="696" t="s">
        <v>253</v>
      </c>
      <c r="BB19" s="667" t="s">
        <v>558</v>
      </c>
      <c r="BC19" s="708" t="s">
        <v>249</v>
      </c>
      <c r="BD19" s="709"/>
      <c r="BE19" s="662" t="str">
        <f t="shared" si="19"/>
        <v>N/A</v>
      </c>
      <c r="BF19" s="662"/>
      <c r="BG19" s="662" t="str">
        <f t="shared" si="20"/>
        <v>N/A</v>
      </c>
      <c r="BH19" s="662"/>
      <c r="BI19" s="662" t="str">
        <f t="shared" si="0"/>
        <v>N/A</v>
      </c>
      <c r="BJ19" s="710"/>
      <c r="BK19" s="662" t="str">
        <f t="shared" si="1"/>
        <v>N/A</v>
      </c>
      <c r="BL19" s="667"/>
      <c r="BM19" s="662" t="str">
        <f t="shared" si="2"/>
        <v>N/A</v>
      </c>
      <c r="BN19" s="710"/>
      <c r="BO19" s="662" t="str">
        <f t="shared" si="3"/>
        <v>N/A</v>
      </c>
      <c r="BP19" s="667"/>
      <c r="BQ19" s="662" t="str">
        <f t="shared" si="4"/>
        <v>N/A</v>
      </c>
      <c r="BR19" s="709"/>
      <c r="BS19" s="662" t="str">
        <f t="shared" si="5"/>
        <v>N/A</v>
      </c>
      <c r="BT19" s="710"/>
      <c r="BU19" s="662" t="str">
        <f t="shared" si="6"/>
        <v>N/A</v>
      </c>
      <c r="BV19" s="667"/>
      <c r="BW19" s="662" t="str">
        <f t="shared" si="7"/>
        <v>N/A</v>
      </c>
      <c r="BX19" s="709"/>
      <c r="BY19" s="662" t="str">
        <f t="shared" si="8"/>
        <v>N/A</v>
      </c>
      <c r="BZ19" s="667"/>
      <c r="CA19" s="662" t="str">
        <f t="shared" si="9"/>
        <v>N/A</v>
      </c>
      <c r="CB19" s="667"/>
      <c r="CC19" s="662" t="str">
        <f t="shared" si="10"/>
        <v>N/A</v>
      </c>
      <c r="CD19" s="710"/>
      <c r="CE19" s="662" t="str">
        <f t="shared" si="11"/>
        <v>N/A</v>
      </c>
      <c r="CF19" s="710"/>
      <c r="CG19" s="662" t="str">
        <f t="shared" si="12"/>
        <v>N/A</v>
      </c>
      <c r="CH19" s="667"/>
      <c r="CI19" s="662" t="str">
        <f t="shared" si="13"/>
        <v>N/A</v>
      </c>
      <c r="CJ19" s="709"/>
      <c r="CK19" s="662" t="str">
        <f t="shared" si="14"/>
        <v>N/A</v>
      </c>
      <c r="CL19" s="667"/>
      <c r="CM19" s="662" t="str">
        <f t="shared" si="15"/>
        <v>N/A</v>
      </c>
      <c r="CN19" s="709"/>
      <c r="CO19" s="662" t="str">
        <f t="shared" si="16"/>
        <v>N/A</v>
      </c>
      <c r="CP19" s="709"/>
      <c r="CQ19" s="662" t="str">
        <f t="shared" si="17"/>
        <v>N/A</v>
      </c>
      <c r="CR19" s="709"/>
      <c r="CS19" s="662" t="str">
        <f t="shared" si="18"/>
        <v>N/A</v>
      </c>
      <c r="CT19" s="60"/>
      <c r="CU19" s="60"/>
      <c r="CV19" s="484"/>
      <c r="CW19" s="299"/>
    </row>
    <row r="20" spans="2:101" ht="20.25" customHeight="1">
      <c r="B20" s="254">
        <v>102</v>
      </c>
      <c r="C20" s="389">
        <v>13</v>
      </c>
      <c r="D20" s="463" t="s">
        <v>364</v>
      </c>
      <c r="E20" s="389" t="s">
        <v>368</v>
      </c>
      <c r="F20" s="556"/>
      <c r="G20" s="581"/>
      <c r="H20" s="556"/>
      <c r="I20" s="581"/>
      <c r="J20" s="556"/>
      <c r="K20" s="581"/>
      <c r="L20" s="556"/>
      <c r="M20" s="581"/>
      <c r="N20" s="556"/>
      <c r="O20" s="581"/>
      <c r="P20" s="556"/>
      <c r="Q20" s="581"/>
      <c r="R20" s="556"/>
      <c r="S20" s="581"/>
      <c r="T20" s="556"/>
      <c r="U20" s="581"/>
      <c r="V20" s="556"/>
      <c r="W20" s="581"/>
      <c r="X20" s="556"/>
      <c r="Y20" s="581"/>
      <c r="Z20" s="556"/>
      <c r="AA20" s="581"/>
      <c r="AB20" s="556"/>
      <c r="AC20" s="581"/>
      <c r="AD20" s="556"/>
      <c r="AE20" s="581"/>
      <c r="AF20" s="556"/>
      <c r="AG20" s="581"/>
      <c r="AH20" s="556"/>
      <c r="AI20" s="581"/>
      <c r="AJ20" s="556"/>
      <c r="AK20" s="581"/>
      <c r="AL20" s="556"/>
      <c r="AM20" s="581"/>
      <c r="AN20" s="556"/>
      <c r="AO20" s="581"/>
      <c r="AP20" s="556"/>
      <c r="AQ20" s="581"/>
      <c r="AR20" s="556"/>
      <c r="AS20" s="581"/>
      <c r="AT20" s="556"/>
      <c r="AU20" s="581"/>
      <c r="AV20" s="556"/>
      <c r="AW20" s="581"/>
      <c r="AZ20" s="667">
        <v>13</v>
      </c>
      <c r="BA20" s="696" t="s">
        <v>254</v>
      </c>
      <c r="BB20" s="667" t="s">
        <v>558</v>
      </c>
      <c r="BC20" s="708" t="s">
        <v>249</v>
      </c>
      <c r="BD20" s="709"/>
      <c r="BE20" s="662" t="str">
        <f t="shared" si="19"/>
        <v>N/A</v>
      </c>
      <c r="BF20" s="662"/>
      <c r="BG20" s="662" t="str">
        <f t="shared" si="20"/>
        <v>N/A</v>
      </c>
      <c r="BH20" s="662"/>
      <c r="BI20" s="662" t="str">
        <f t="shared" si="0"/>
        <v>N/A</v>
      </c>
      <c r="BJ20" s="710"/>
      <c r="BK20" s="662" t="str">
        <f t="shared" si="1"/>
        <v>N/A</v>
      </c>
      <c r="BL20" s="667"/>
      <c r="BM20" s="662" t="str">
        <f t="shared" si="2"/>
        <v>N/A</v>
      </c>
      <c r="BN20" s="710"/>
      <c r="BO20" s="662" t="str">
        <f t="shared" si="3"/>
        <v>N/A</v>
      </c>
      <c r="BP20" s="667"/>
      <c r="BQ20" s="662" t="str">
        <f t="shared" si="4"/>
        <v>N/A</v>
      </c>
      <c r="BR20" s="709"/>
      <c r="BS20" s="662" t="str">
        <f t="shared" si="5"/>
        <v>N/A</v>
      </c>
      <c r="BT20" s="710"/>
      <c r="BU20" s="662" t="str">
        <f t="shared" si="6"/>
        <v>N/A</v>
      </c>
      <c r="BV20" s="667"/>
      <c r="BW20" s="662" t="str">
        <f t="shared" si="7"/>
        <v>N/A</v>
      </c>
      <c r="BX20" s="709"/>
      <c r="BY20" s="662" t="str">
        <f t="shared" si="8"/>
        <v>N/A</v>
      </c>
      <c r="BZ20" s="667"/>
      <c r="CA20" s="662" t="str">
        <f t="shared" si="9"/>
        <v>N/A</v>
      </c>
      <c r="CB20" s="667"/>
      <c r="CC20" s="662" t="str">
        <f t="shared" si="10"/>
        <v>N/A</v>
      </c>
      <c r="CD20" s="710"/>
      <c r="CE20" s="662" t="str">
        <f t="shared" si="11"/>
        <v>N/A</v>
      </c>
      <c r="CF20" s="710"/>
      <c r="CG20" s="662" t="str">
        <f t="shared" si="12"/>
        <v>N/A</v>
      </c>
      <c r="CH20" s="667"/>
      <c r="CI20" s="662" t="str">
        <f t="shared" si="13"/>
        <v>N/A</v>
      </c>
      <c r="CJ20" s="709"/>
      <c r="CK20" s="662" t="str">
        <f t="shared" si="14"/>
        <v>N/A</v>
      </c>
      <c r="CL20" s="667"/>
      <c r="CM20" s="662" t="str">
        <f t="shared" si="15"/>
        <v>N/A</v>
      </c>
      <c r="CN20" s="709"/>
      <c r="CO20" s="662" t="str">
        <f t="shared" si="16"/>
        <v>N/A</v>
      </c>
      <c r="CP20" s="709"/>
      <c r="CQ20" s="662" t="str">
        <f t="shared" si="17"/>
        <v>N/A</v>
      </c>
      <c r="CR20" s="709"/>
      <c r="CS20" s="662" t="str">
        <f t="shared" si="18"/>
        <v>N/A</v>
      </c>
      <c r="CT20" s="60"/>
      <c r="CU20" s="60"/>
      <c r="CV20" s="484"/>
      <c r="CW20" s="299"/>
    </row>
    <row r="21" spans="2:101" ht="20.25" customHeight="1">
      <c r="B21" s="254">
        <v>109</v>
      </c>
      <c r="C21" s="389">
        <v>14</v>
      </c>
      <c r="D21" s="470" t="s">
        <v>362</v>
      </c>
      <c r="E21" s="389" t="s">
        <v>368</v>
      </c>
      <c r="F21" s="556"/>
      <c r="G21" s="581"/>
      <c r="H21" s="556"/>
      <c r="I21" s="581"/>
      <c r="J21" s="556"/>
      <c r="K21" s="581"/>
      <c r="L21" s="556"/>
      <c r="M21" s="581"/>
      <c r="N21" s="556"/>
      <c r="O21" s="581"/>
      <c r="P21" s="556"/>
      <c r="Q21" s="581"/>
      <c r="R21" s="556"/>
      <c r="S21" s="581"/>
      <c r="T21" s="556"/>
      <c r="U21" s="581"/>
      <c r="V21" s="556"/>
      <c r="W21" s="581"/>
      <c r="X21" s="556"/>
      <c r="Y21" s="581"/>
      <c r="Z21" s="556"/>
      <c r="AA21" s="581"/>
      <c r="AB21" s="556"/>
      <c r="AC21" s="581"/>
      <c r="AD21" s="556"/>
      <c r="AE21" s="581"/>
      <c r="AF21" s="556"/>
      <c r="AG21" s="581"/>
      <c r="AH21" s="556"/>
      <c r="AI21" s="581"/>
      <c r="AJ21" s="556"/>
      <c r="AK21" s="581"/>
      <c r="AL21" s="556"/>
      <c r="AM21" s="581"/>
      <c r="AN21" s="556"/>
      <c r="AO21" s="581"/>
      <c r="AP21" s="556"/>
      <c r="AQ21" s="581"/>
      <c r="AR21" s="556"/>
      <c r="AS21" s="581"/>
      <c r="AT21" s="556"/>
      <c r="AU21" s="581"/>
      <c r="AV21" s="556"/>
      <c r="AW21" s="581"/>
      <c r="AZ21" s="667">
        <v>14</v>
      </c>
      <c r="BA21" s="668" t="s">
        <v>255</v>
      </c>
      <c r="BB21" s="667" t="s">
        <v>558</v>
      </c>
      <c r="BC21" s="708" t="s">
        <v>249</v>
      </c>
      <c r="BD21" s="709"/>
      <c r="BE21" s="662" t="str">
        <f t="shared" si="19"/>
        <v>N/A</v>
      </c>
      <c r="BF21" s="662"/>
      <c r="BG21" s="662" t="str">
        <f t="shared" si="20"/>
        <v>N/A</v>
      </c>
      <c r="BH21" s="662"/>
      <c r="BI21" s="662" t="str">
        <f t="shared" si="0"/>
        <v>N/A</v>
      </c>
      <c r="BJ21" s="667"/>
      <c r="BK21" s="662" t="str">
        <f t="shared" si="1"/>
        <v>N/A</v>
      </c>
      <c r="BL21" s="667"/>
      <c r="BM21" s="662" t="str">
        <f t="shared" si="2"/>
        <v>N/A</v>
      </c>
      <c r="BN21" s="710"/>
      <c r="BO21" s="662" t="str">
        <f t="shared" si="3"/>
        <v>N/A</v>
      </c>
      <c r="BP21" s="667"/>
      <c r="BQ21" s="662" t="str">
        <f t="shared" si="4"/>
        <v>N/A</v>
      </c>
      <c r="BR21" s="709"/>
      <c r="BS21" s="662" t="str">
        <f t="shared" si="5"/>
        <v>N/A</v>
      </c>
      <c r="BT21" s="710"/>
      <c r="BU21" s="662" t="str">
        <f t="shared" si="6"/>
        <v>N/A</v>
      </c>
      <c r="BV21" s="667"/>
      <c r="BW21" s="662" t="str">
        <f t="shared" si="7"/>
        <v>N/A</v>
      </c>
      <c r="BX21" s="709"/>
      <c r="BY21" s="662" t="str">
        <f t="shared" si="8"/>
        <v>N/A</v>
      </c>
      <c r="BZ21" s="667"/>
      <c r="CA21" s="662" t="str">
        <f t="shared" si="9"/>
        <v>N/A</v>
      </c>
      <c r="CB21" s="667"/>
      <c r="CC21" s="662" t="str">
        <f t="shared" si="10"/>
        <v>N/A</v>
      </c>
      <c r="CD21" s="710"/>
      <c r="CE21" s="662" t="str">
        <f t="shared" si="11"/>
        <v>N/A</v>
      </c>
      <c r="CF21" s="710"/>
      <c r="CG21" s="662" t="str">
        <f t="shared" si="12"/>
        <v>N/A</v>
      </c>
      <c r="CH21" s="667"/>
      <c r="CI21" s="662" t="str">
        <f t="shared" si="13"/>
        <v>N/A</v>
      </c>
      <c r="CJ21" s="709"/>
      <c r="CK21" s="662" t="str">
        <f t="shared" si="14"/>
        <v>N/A</v>
      </c>
      <c r="CL21" s="667"/>
      <c r="CM21" s="662" t="str">
        <f t="shared" si="15"/>
        <v>N/A</v>
      </c>
      <c r="CN21" s="709"/>
      <c r="CO21" s="662" t="str">
        <f t="shared" si="16"/>
        <v>N/A</v>
      </c>
      <c r="CP21" s="709"/>
      <c r="CQ21" s="662" t="str">
        <f t="shared" si="17"/>
        <v>N/A</v>
      </c>
      <c r="CR21" s="709"/>
      <c r="CS21" s="662" t="str">
        <f t="shared" si="18"/>
        <v>N/A</v>
      </c>
      <c r="CT21" s="60"/>
      <c r="CU21" s="60"/>
      <c r="CV21" s="484"/>
      <c r="CW21" s="299"/>
    </row>
    <row r="22" spans="2:101" ht="26.25" customHeight="1">
      <c r="B22" s="254">
        <v>90</v>
      </c>
      <c r="C22" s="389">
        <v>15</v>
      </c>
      <c r="D22" s="463" t="s">
        <v>699</v>
      </c>
      <c r="E22" s="389" t="s">
        <v>368</v>
      </c>
      <c r="F22" s="556"/>
      <c r="G22" s="581"/>
      <c r="H22" s="556"/>
      <c r="I22" s="581"/>
      <c r="J22" s="556"/>
      <c r="K22" s="581"/>
      <c r="L22" s="556"/>
      <c r="M22" s="581"/>
      <c r="N22" s="556"/>
      <c r="O22" s="581"/>
      <c r="P22" s="556"/>
      <c r="Q22" s="581"/>
      <c r="R22" s="556"/>
      <c r="S22" s="581"/>
      <c r="T22" s="556"/>
      <c r="U22" s="581"/>
      <c r="V22" s="556"/>
      <c r="W22" s="581"/>
      <c r="X22" s="556"/>
      <c r="Y22" s="581"/>
      <c r="Z22" s="556"/>
      <c r="AA22" s="581"/>
      <c r="AB22" s="556"/>
      <c r="AC22" s="581"/>
      <c r="AD22" s="556"/>
      <c r="AE22" s="581"/>
      <c r="AF22" s="556"/>
      <c r="AG22" s="581"/>
      <c r="AH22" s="556"/>
      <c r="AI22" s="581"/>
      <c r="AJ22" s="556"/>
      <c r="AK22" s="581"/>
      <c r="AL22" s="556"/>
      <c r="AM22" s="581"/>
      <c r="AN22" s="556"/>
      <c r="AO22" s="581"/>
      <c r="AP22" s="556"/>
      <c r="AQ22" s="581"/>
      <c r="AR22" s="556"/>
      <c r="AS22" s="581"/>
      <c r="AT22" s="556"/>
      <c r="AU22" s="581"/>
      <c r="AV22" s="556"/>
      <c r="AW22" s="581"/>
      <c r="AZ22" s="667">
        <v>15</v>
      </c>
      <c r="BA22" s="696" t="s">
        <v>646</v>
      </c>
      <c r="BB22" s="667" t="s">
        <v>558</v>
      </c>
      <c r="BC22" s="667" t="s">
        <v>249</v>
      </c>
      <c r="BD22" s="708"/>
      <c r="BE22" s="662" t="str">
        <f t="shared" si="19"/>
        <v>N/A</v>
      </c>
      <c r="BF22" s="662"/>
      <c r="BG22" s="662" t="str">
        <f t="shared" si="20"/>
        <v>N/A</v>
      </c>
      <c r="BH22" s="662"/>
      <c r="BI22" s="662" t="str">
        <f t="shared" si="0"/>
        <v>N/A</v>
      </c>
      <c r="BJ22" s="667"/>
      <c r="BK22" s="662" t="str">
        <f t="shared" si="1"/>
        <v>N/A</v>
      </c>
      <c r="BL22" s="667"/>
      <c r="BM22" s="662" t="str">
        <f t="shared" si="2"/>
        <v>N/A</v>
      </c>
      <c r="BN22" s="710"/>
      <c r="BO22" s="662" t="str">
        <f t="shared" si="3"/>
        <v>N/A</v>
      </c>
      <c r="BP22" s="667"/>
      <c r="BQ22" s="662" t="str">
        <f t="shared" si="4"/>
        <v>N/A</v>
      </c>
      <c r="BR22" s="709"/>
      <c r="BS22" s="662" t="str">
        <f t="shared" si="5"/>
        <v>N/A</v>
      </c>
      <c r="BT22" s="710"/>
      <c r="BU22" s="662" t="str">
        <f t="shared" si="6"/>
        <v>N/A</v>
      </c>
      <c r="BV22" s="667"/>
      <c r="BW22" s="662" t="str">
        <f t="shared" si="7"/>
        <v>N/A</v>
      </c>
      <c r="BX22" s="709"/>
      <c r="BY22" s="662" t="str">
        <f t="shared" si="8"/>
        <v>N/A</v>
      </c>
      <c r="BZ22" s="667"/>
      <c r="CA22" s="662" t="str">
        <f t="shared" si="9"/>
        <v>N/A</v>
      </c>
      <c r="CB22" s="667"/>
      <c r="CC22" s="662" t="str">
        <f t="shared" si="10"/>
        <v>N/A</v>
      </c>
      <c r="CD22" s="710"/>
      <c r="CE22" s="662" t="str">
        <f t="shared" si="11"/>
        <v>N/A</v>
      </c>
      <c r="CF22" s="710"/>
      <c r="CG22" s="662" t="str">
        <f t="shared" si="12"/>
        <v>N/A</v>
      </c>
      <c r="CH22" s="667"/>
      <c r="CI22" s="662" t="str">
        <f t="shared" si="13"/>
        <v>N/A</v>
      </c>
      <c r="CJ22" s="709"/>
      <c r="CK22" s="662" t="str">
        <f t="shared" si="14"/>
        <v>N/A</v>
      </c>
      <c r="CL22" s="667"/>
      <c r="CM22" s="662" t="str">
        <f t="shared" si="15"/>
        <v>N/A</v>
      </c>
      <c r="CN22" s="709"/>
      <c r="CO22" s="662" t="str">
        <f t="shared" si="16"/>
        <v>N/A</v>
      </c>
      <c r="CP22" s="709"/>
      <c r="CQ22" s="662" t="str">
        <f t="shared" si="17"/>
        <v>N/A</v>
      </c>
      <c r="CR22" s="709"/>
      <c r="CS22" s="662" t="str">
        <f t="shared" si="18"/>
        <v>N/A</v>
      </c>
      <c r="CT22" s="60"/>
      <c r="CU22" s="60"/>
      <c r="CV22" s="484"/>
      <c r="CW22" s="299"/>
    </row>
    <row r="23" spans="2:101" ht="20.25" customHeight="1">
      <c r="B23" s="254">
        <v>91</v>
      </c>
      <c r="C23" s="389">
        <v>16</v>
      </c>
      <c r="D23" s="463" t="s">
        <v>363</v>
      </c>
      <c r="E23" s="389" t="s">
        <v>368</v>
      </c>
      <c r="F23" s="556"/>
      <c r="G23" s="581"/>
      <c r="H23" s="556"/>
      <c r="I23" s="581"/>
      <c r="J23" s="556"/>
      <c r="K23" s="581"/>
      <c r="L23" s="556"/>
      <c r="M23" s="581"/>
      <c r="N23" s="556"/>
      <c r="O23" s="581"/>
      <c r="P23" s="556"/>
      <c r="Q23" s="581"/>
      <c r="R23" s="556"/>
      <c r="S23" s="581"/>
      <c r="T23" s="556"/>
      <c r="U23" s="581"/>
      <c r="V23" s="556"/>
      <c r="W23" s="581"/>
      <c r="X23" s="556"/>
      <c r="Y23" s="581"/>
      <c r="Z23" s="556"/>
      <c r="AA23" s="581"/>
      <c r="AB23" s="556"/>
      <c r="AC23" s="581"/>
      <c r="AD23" s="556"/>
      <c r="AE23" s="581"/>
      <c r="AF23" s="556"/>
      <c r="AG23" s="581"/>
      <c r="AH23" s="556"/>
      <c r="AI23" s="581"/>
      <c r="AJ23" s="556"/>
      <c r="AK23" s="581"/>
      <c r="AL23" s="556"/>
      <c r="AM23" s="581"/>
      <c r="AN23" s="556"/>
      <c r="AO23" s="581"/>
      <c r="AP23" s="556"/>
      <c r="AQ23" s="581"/>
      <c r="AR23" s="556"/>
      <c r="AS23" s="581"/>
      <c r="AT23" s="556"/>
      <c r="AU23" s="581"/>
      <c r="AV23" s="556"/>
      <c r="AW23" s="581"/>
      <c r="AZ23" s="667">
        <v>16</v>
      </c>
      <c r="BA23" s="696" t="s">
        <v>253</v>
      </c>
      <c r="BB23" s="667" t="s">
        <v>558</v>
      </c>
      <c r="BC23" s="667" t="s">
        <v>249</v>
      </c>
      <c r="BD23" s="708"/>
      <c r="BE23" s="662" t="str">
        <f t="shared" si="19"/>
        <v>N/A</v>
      </c>
      <c r="BF23" s="662"/>
      <c r="BG23" s="662" t="str">
        <f t="shared" si="20"/>
        <v>N/A</v>
      </c>
      <c r="BH23" s="662"/>
      <c r="BI23" s="662" t="str">
        <f t="shared" si="0"/>
        <v>N/A</v>
      </c>
      <c r="BJ23" s="667"/>
      <c r="BK23" s="662" t="str">
        <f t="shared" si="1"/>
        <v>N/A</v>
      </c>
      <c r="BL23" s="667"/>
      <c r="BM23" s="662" t="str">
        <f t="shared" si="2"/>
        <v>N/A</v>
      </c>
      <c r="BN23" s="710"/>
      <c r="BO23" s="662" t="str">
        <f t="shared" si="3"/>
        <v>N/A</v>
      </c>
      <c r="BP23" s="667"/>
      <c r="BQ23" s="662" t="str">
        <f t="shared" si="4"/>
        <v>N/A</v>
      </c>
      <c r="BR23" s="708"/>
      <c r="BS23" s="662" t="str">
        <f t="shared" si="5"/>
        <v>N/A</v>
      </c>
      <c r="BT23" s="710"/>
      <c r="BU23" s="662" t="str">
        <f t="shared" si="6"/>
        <v>N/A</v>
      </c>
      <c r="BV23" s="667"/>
      <c r="BW23" s="662" t="str">
        <f t="shared" si="7"/>
        <v>N/A</v>
      </c>
      <c r="BX23" s="708"/>
      <c r="BY23" s="662" t="str">
        <f t="shared" si="8"/>
        <v>N/A</v>
      </c>
      <c r="BZ23" s="667"/>
      <c r="CA23" s="662" t="str">
        <f t="shared" si="9"/>
        <v>N/A</v>
      </c>
      <c r="CB23" s="667"/>
      <c r="CC23" s="662" t="str">
        <f t="shared" si="10"/>
        <v>N/A</v>
      </c>
      <c r="CD23" s="710"/>
      <c r="CE23" s="662" t="str">
        <f t="shared" si="11"/>
        <v>N/A</v>
      </c>
      <c r="CF23" s="710"/>
      <c r="CG23" s="662" t="str">
        <f t="shared" si="12"/>
        <v>N/A</v>
      </c>
      <c r="CH23" s="667"/>
      <c r="CI23" s="662" t="str">
        <f t="shared" si="13"/>
        <v>N/A</v>
      </c>
      <c r="CJ23" s="708"/>
      <c r="CK23" s="662" t="str">
        <f t="shared" si="14"/>
        <v>N/A</v>
      </c>
      <c r="CL23" s="667"/>
      <c r="CM23" s="662" t="str">
        <f t="shared" si="15"/>
        <v>N/A</v>
      </c>
      <c r="CN23" s="708"/>
      <c r="CO23" s="662" t="str">
        <f t="shared" si="16"/>
        <v>N/A</v>
      </c>
      <c r="CP23" s="708"/>
      <c r="CQ23" s="662" t="str">
        <f t="shared" si="17"/>
        <v>N/A</v>
      </c>
      <c r="CR23" s="708"/>
      <c r="CS23" s="662" t="str">
        <f t="shared" si="18"/>
        <v>N/A</v>
      </c>
      <c r="CT23" s="60"/>
      <c r="CU23" s="60"/>
      <c r="CV23" s="484"/>
      <c r="CW23" s="299"/>
    </row>
    <row r="24" spans="2:101" ht="20.25" customHeight="1">
      <c r="B24" s="254">
        <v>92</v>
      </c>
      <c r="C24" s="389">
        <v>17</v>
      </c>
      <c r="D24" s="463" t="s">
        <v>364</v>
      </c>
      <c r="E24" s="389" t="s">
        <v>368</v>
      </c>
      <c r="F24" s="556"/>
      <c r="G24" s="581"/>
      <c r="H24" s="556"/>
      <c r="I24" s="581"/>
      <c r="J24" s="556"/>
      <c r="K24" s="581"/>
      <c r="L24" s="556"/>
      <c r="M24" s="581"/>
      <c r="N24" s="556"/>
      <c r="O24" s="581"/>
      <c r="P24" s="556"/>
      <c r="Q24" s="581"/>
      <c r="R24" s="556"/>
      <c r="S24" s="581"/>
      <c r="T24" s="556"/>
      <c r="U24" s="581"/>
      <c r="V24" s="556"/>
      <c r="W24" s="581"/>
      <c r="X24" s="556"/>
      <c r="Y24" s="581"/>
      <c r="Z24" s="556"/>
      <c r="AA24" s="581"/>
      <c r="AB24" s="556"/>
      <c r="AC24" s="581"/>
      <c r="AD24" s="556"/>
      <c r="AE24" s="581"/>
      <c r="AF24" s="556"/>
      <c r="AG24" s="581"/>
      <c r="AH24" s="556"/>
      <c r="AI24" s="581"/>
      <c r="AJ24" s="556"/>
      <c r="AK24" s="581"/>
      <c r="AL24" s="556"/>
      <c r="AM24" s="581"/>
      <c r="AN24" s="556"/>
      <c r="AO24" s="581"/>
      <c r="AP24" s="556"/>
      <c r="AQ24" s="581"/>
      <c r="AR24" s="556"/>
      <c r="AS24" s="581"/>
      <c r="AT24" s="556"/>
      <c r="AU24" s="581"/>
      <c r="AV24" s="556"/>
      <c r="AW24" s="581"/>
      <c r="AZ24" s="667">
        <v>17</v>
      </c>
      <c r="BA24" s="696" t="s">
        <v>254</v>
      </c>
      <c r="BB24" s="667" t="s">
        <v>558</v>
      </c>
      <c r="BC24" s="667" t="s">
        <v>249</v>
      </c>
      <c r="BD24" s="708"/>
      <c r="BE24" s="662" t="str">
        <f t="shared" si="19"/>
        <v>N/A</v>
      </c>
      <c r="BF24" s="662"/>
      <c r="BG24" s="662" t="str">
        <f t="shared" si="20"/>
        <v>N/A</v>
      </c>
      <c r="BH24" s="662"/>
      <c r="BI24" s="662" t="str">
        <f t="shared" si="0"/>
        <v>N/A</v>
      </c>
      <c r="BJ24" s="667"/>
      <c r="BK24" s="662" t="str">
        <f t="shared" si="1"/>
        <v>N/A</v>
      </c>
      <c r="BL24" s="667"/>
      <c r="BM24" s="662" t="str">
        <f t="shared" si="2"/>
        <v>N/A</v>
      </c>
      <c r="BN24" s="710"/>
      <c r="BO24" s="662" t="str">
        <f t="shared" si="3"/>
        <v>N/A</v>
      </c>
      <c r="BP24" s="708"/>
      <c r="BQ24" s="662" t="str">
        <f t="shared" si="4"/>
        <v>N/A</v>
      </c>
      <c r="BR24" s="708"/>
      <c r="BS24" s="662" t="str">
        <f t="shared" si="5"/>
        <v>N/A</v>
      </c>
      <c r="BT24" s="667"/>
      <c r="BU24" s="662" t="str">
        <f t="shared" si="6"/>
        <v>N/A</v>
      </c>
      <c r="BV24" s="708"/>
      <c r="BW24" s="662" t="str">
        <f t="shared" si="7"/>
        <v>N/A</v>
      </c>
      <c r="BX24" s="708"/>
      <c r="BY24" s="662" t="str">
        <f t="shared" si="8"/>
        <v>N/A</v>
      </c>
      <c r="BZ24" s="667"/>
      <c r="CA24" s="662" t="str">
        <f t="shared" si="9"/>
        <v>N/A</v>
      </c>
      <c r="CB24" s="667"/>
      <c r="CC24" s="662" t="str">
        <f t="shared" si="10"/>
        <v>N/A</v>
      </c>
      <c r="CD24" s="710"/>
      <c r="CE24" s="662" t="str">
        <f t="shared" si="11"/>
        <v>N/A</v>
      </c>
      <c r="CF24" s="710"/>
      <c r="CG24" s="662" t="str">
        <f t="shared" si="12"/>
        <v>N/A</v>
      </c>
      <c r="CH24" s="708"/>
      <c r="CI24" s="662" t="str">
        <f t="shared" si="13"/>
        <v>N/A</v>
      </c>
      <c r="CJ24" s="708"/>
      <c r="CK24" s="662" t="str">
        <f t="shared" si="14"/>
        <v>N/A</v>
      </c>
      <c r="CL24" s="708"/>
      <c r="CM24" s="662" t="str">
        <f t="shared" si="15"/>
        <v>N/A</v>
      </c>
      <c r="CN24" s="708"/>
      <c r="CO24" s="662" t="str">
        <f t="shared" si="16"/>
        <v>N/A</v>
      </c>
      <c r="CP24" s="708"/>
      <c r="CQ24" s="662" t="str">
        <f t="shared" si="17"/>
        <v>N/A</v>
      </c>
      <c r="CR24" s="708"/>
      <c r="CS24" s="662" t="str">
        <f t="shared" si="18"/>
        <v>N/A</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c r="AE25" s="581"/>
      <c r="AF25" s="556"/>
      <c r="AG25" s="581"/>
      <c r="AH25" s="556"/>
      <c r="AI25" s="581"/>
      <c r="AJ25" s="556"/>
      <c r="AK25" s="581"/>
      <c r="AL25" s="556"/>
      <c r="AM25" s="581"/>
      <c r="AN25" s="556"/>
      <c r="AO25" s="581"/>
      <c r="AP25" s="556"/>
      <c r="AQ25" s="581"/>
      <c r="AR25" s="556"/>
      <c r="AS25" s="581"/>
      <c r="AT25" s="556"/>
      <c r="AU25" s="581"/>
      <c r="AV25" s="556"/>
      <c r="AW25" s="581"/>
      <c r="AZ25" s="667">
        <v>18</v>
      </c>
      <c r="BA25" s="675" t="s">
        <v>256</v>
      </c>
      <c r="BB25" s="667" t="s">
        <v>558</v>
      </c>
      <c r="BC25" s="667" t="s">
        <v>249</v>
      </c>
      <c r="BD25" s="708"/>
      <c r="BE25" s="662" t="str">
        <f t="shared" si="19"/>
        <v>N/A</v>
      </c>
      <c r="BF25" s="662"/>
      <c r="BG25" s="662" t="str">
        <f t="shared" si="20"/>
        <v>N/A</v>
      </c>
      <c r="BH25" s="662"/>
      <c r="BI25" s="662" t="str">
        <f t="shared" si="0"/>
        <v>N/A</v>
      </c>
      <c r="BJ25" s="667"/>
      <c r="BK25" s="662" t="str">
        <f t="shared" si="1"/>
        <v>N/A</v>
      </c>
      <c r="BL25" s="667"/>
      <c r="BM25" s="662" t="str">
        <f t="shared" si="2"/>
        <v>N/A</v>
      </c>
      <c r="BN25" s="710"/>
      <c r="BO25" s="662" t="str">
        <f t="shared" si="3"/>
        <v>N/A</v>
      </c>
      <c r="BP25" s="708"/>
      <c r="BQ25" s="662" t="str">
        <f t="shared" si="4"/>
        <v>N/A</v>
      </c>
      <c r="BR25" s="708"/>
      <c r="BS25" s="662" t="str">
        <f t="shared" si="5"/>
        <v>N/A</v>
      </c>
      <c r="BT25" s="667"/>
      <c r="BU25" s="662" t="str">
        <f t="shared" si="6"/>
        <v>N/A</v>
      </c>
      <c r="BV25" s="708"/>
      <c r="BW25" s="662" t="str">
        <f t="shared" si="7"/>
        <v>N/A</v>
      </c>
      <c r="BX25" s="708"/>
      <c r="BY25" s="662" t="str">
        <f t="shared" si="8"/>
        <v>N/A</v>
      </c>
      <c r="BZ25" s="667"/>
      <c r="CA25" s="662" t="str">
        <f t="shared" si="9"/>
        <v>N/A</v>
      </c>
      <c r="CB25" s="667"/>
      <c r="CC25" s="662" t="str">
        <f t="shared" si="10"/>
        <v>N/A</v>
      </c>
      <c r="CD25" s="710"/>
      <c r="CE25" s="662" t="str">
        <f t="shared" si="11"/>
        <v>N/A</v>
      </c>
      <c r="CF25" s="710"/>
      <c r="CG25" s="662" t="str">
        <f t="shared" si="12"/>
        <v>N/A</v>
      </c>
      <c r="CH25" s="708"/>
      <c r="CI25" s="662" t="str">
        <f t="shared" si="13"/>
        <v>N/A</v>
      </c>
      <c r="CJ25" s="708"/>
      <c r="CK25" s="662" t="str">
        <f t="shared" si="14"/>
        <v>N/A</v>
      </c>
      <c r="CL25" s="708"/>
      <c r="CM25" s="662" t="str">
        <f t="shared" si="15"/>
        <v>N/A</v>
      </c>
      <c r="CN25" s="708"/>
      <c r="CO25" s="662" t="str">
        <f t="shared" si="16"/>
        <v>N/A</v>
      </c>
      <c r="CP25" s="708"/>
      <c r="CQ25" s="662" t="str">
        <f t="shared" si="17"/>
        <v>N/A</v>
      </c>
      <c r="CR25" s="708"/>
      <c r="CS25" s="662" t="str">
        <f t="shared" si="18"/>
        <v>N/A</v>
      </c>
      <c r="CT25" s="93"/>
      <c r="CU25" s="60"/>
      <c r="CV25" s="484"/>
      <c r="CW25" s="299"/>
    </row>
    <row r="26" spans="1:101" ht="20.25" customHeight="1">
      <c r="A26" s="225"/>
      <c r="B26" s="254">
        <v>2414</v>
      </c>
      <c r="C26" s="505">
        <v>19</v>
      </c>
      <c r="D26" s="506" t="s">
        <v>366</v>
      </c>
      <c r="E26" s="389" t="s">
        <v>368</v>
      </c>
      <c r="F26" s="557"/>
      <c r="G26" s="583"/>
      <c r="H26" s="557"/>
      <c r="I26" s="583"/>
      <c r="J26" s="557"/>
      <c r="K26" s="583"/>
      <c r="L26" s="557"/>
      <c r="M26" s="583"/>
      <c r="N26" s="557"/>
      <c r="O26" s="583"/>
      <c r="P26" s="557"/>
      <c r="Q26" s="583"/>
      <c r="R26" s="557"/>
      <c r="S26" s="583"/>
      <c r="T26" s="557"/>
      <c r="U26" s="583"/>
      <c r="V26" s="557"/>
      <c r="W26" s="583"/>
      <c r="X26" s="557"/>
      <c r="Y26" s="583"/>
      <c r="Z26" s="557"/>
      <c r="AA26" s="583"/>
      <c r="AB26" s="557"/>
      <c r="AC26" s="583"/>
      <c r="AD26" s="557"/>
      <c r="AE26" s="583"/>
      <c r="AF26" s="557"/>
      <c r="AG26" s="583"/>
      <c r="AH26" s="557"/>
      <c r="AI26" s="583"/>
      <c r="AJ26" s="557"/>
      <c r="AK26" s="583"/>
      <c r="AL26" s="557"/>
      <c r="AM26" s="583"/>
      <c r="AN26" s="557"/>
      <c r="AO26" s="583"/>
      <c r="AP26" s="557"/>
      <c r="AQ26" s="583"/>
      <c r="AR26" s="557"/>
      <c r="AS26" s="583"/>
      <c r="AT26" s="557"/>
      <c r="AU26" s="583"/>
      <c r="AV26" s="557"/>
      <c r="AW26" s="583"/>
      <c r="AX26" s="398"/>
      <c r="AY26" s="229"/>
      <c r="AZ26" s="703">
        <v>19</v>
      </c>
      <c r="BA26" s="711" t="s">
        <v>262</v>
      </c>
      <c r="BB26" s="667" t="s">
        <v>558</v>
      </c>
      <c r="BC26" s="667" t="s">
        <v>249</v>
      </c>
      <c r="BD26" s="708"/>
      <c r="BE26" s="662" t="str">
        <f t="shared" si="19"/>
        <v>N/A</v>
      </c>
      <c r="BF26" s="662"/>
      <c r="BG26" s="662" t="str">
        <f t="shared" si="20"/>
        <v>N/A</v>
      </c>
      <c r="BH26" s="662"/>
      <c r="BI26" s="662" t="str">
        <f t="shared" si="0"/>
        <v>N/A</v>
      </c>
      <c r="BJ26" s="667"/>
      <c r="BK26" s="662" t="str">
        <f t="shared" si="1"/>
        <v>N/A</v>
      </c>
      <c r="BL26" s="667"/>
      <c r="BM26" s="662" t="str">
        <f t="shared" si="2"/>
        <v>N/A</v>
      </c>
      <c r="BN26" s="667"/>
      <c r="BO26" s="662" t="str">
        <f t="shared" si="3"/>
        <v>N/A</v>
      </c>
      <c r="BP26" s="708"/>
      <c r="BQ26" s="662" t="str">
        <f t="shared" si="4"/>
        <v>N/A</v>
      </c>
      <c r="BR26" s="667"/>
      <c r="BS26" s="662" t="str">
        <f t="shared" si="5"/>
        <v>N/A</v>
      </c>
      <c r="BT26" s="667"/>
      <c r="BU26" s="662" t="str">
        <f t="shared" si="6"/>
        <v>N/A</v>
      </c>
      <c r="BV26" s="708"/>
      <c r="BW26" s="662" t="str">
        <f t="shared" si="7"/>
        <v>N/A</v>
      </c>
      <c r="BX26" s="667"/>
      <c r="BY26" s="662" t="str">
        <f t="shared" si="8"/>
        <v>N/A</v>
      </c>
      <c r="BZ26" s="667"/>
      <c r="CA26" s="662" t="str">
        <f t="shared" si="9"/>
        <v>N/A</v>
      </c>
      <c r="CB26" s="667"/>
      <c r="CC26" s="662" t="str">
        <f t="shared" si="10"/>
        <v>N/A</v>
      </c>
      <c r="CD26" s="667"/>
      <c r="CE26" s="662" t="str">
        <f t="shared" si="11"/>
        <v>N/A</v>
      </c>
      <c r="CF26" s="667"/>
      <c r="CG26" s="662" t="str">
        <f t="shared" si="12"/>
        <v>N/A</v>
      </c>
      <c r="CH26" s="708"/>
      <c r="CI26" s="662" t="str">
        <f t="shared" si="13"/>
        <v>N/A</v>
      </c>
      <c r="CJ26" s="667"/>
      <c r="CK26" s="662" t="str">
        <f t="shared" si="14"/>
        <v>N/A</v>
      </c>
      <c r="CL26" s="708"/>
      <c r="CM26" s="662" t="str">
        <f t="shared" si="15"/>
        <v>N/A</v>
      </c>
      <c r="CN26" s="667"/>
      <c r="CO26" s="662" t="str">
        <f t="shared" si="16"/>
        <v>N/A</v>
      </c>
      <c r="CP26" s="667"/>
      <c r="CQ26" s="662" t="str">
        <f t="shared" si="17"/>
        <v>N/A</v>
      </c>
      <c r="CR26" s="667"/>
      <c r="CS26" s="662" t="str">
        <f t="shared" si="18"/>
        <v>N/A</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c r="AA27" s="584"/>
      <c r="AB27" s="558"/>
      <c r="AC27" s="584"/>
      <c r="AD27" s="558"/>
      <c r="AE27" s="584"/>
      <c r="AF27" s="558"/>
      <c r="AG27" s="584"/>
      <c r="AH27" s="558"/>
      <c r="AI27" s="584"/>
      <c r="AJ27" s="558"/>
      <c r="AK27" s="584"/>
      <c r="AL27" s="558"/>
      <c r="AM27" s="584"/>
      <c r="AN27" s="558"/>
      <c r="AO27" s="584"/>
      <c r="AP27" s="558"/>
      <c r="AQ27" s="584"/>
      <c r="AR27" s="558"/>
      <c r="AS27" s="584"/>
      <c r="AT27" s="558"/>
      <c r="AU27" s="584"/>
      <c r="AV27" s="558">
        <v>15.5</v>
      </c>
      <c r="AW27" s="584" t="s">
        <v>716</v>
      </c>
      <c r="AZ27" s="677">
        <v>20</v>
      </c>
      <c r="BA27" s="712" t="s">
        <v>217</v>
      </c>
      <c r="BB27" s="677" t="s">
        <v>20</v>
      </c>
      <c r="BC27" s="677" t="s">
        <v>249</v>
      </c>
      <c r="BD27" s="713"/>
      <c r="BE27" s="662" t="str">
        <f t="shared" si="19"/>
        <v>N/A</v>
      </c>
      <c r="BF27" s="662"/>
      <c r="BG27" s="662" t="str">
        <f t="shared" si="20"/>
        <v>N/A</v>
      </c>
      <c r="BH27" s="662"/>
      <c r="BI27" s="677" t="str">
        <f t="shared" si="0"/>
        <v>N/A</v>
      </c>
      <c r="BJ27" s="677"/>
      <c r="BK27" s="677" t="str">
        <f t="shared" si="1"/>
        <v>N/A</v>
      </c>
      <c r="BL27" s="677"/>
      <c r="BM27" s="677" t="str">
        <f t="shared" si="2"/>
        <v>N/A</v>
      </c>
      <c r="BN27" s="677"/>
      <c r="BO27" s="677" t="str">
        <f t="shared" si="3"/>
        <v>N/A</v>
      </c>
      <c r="BP27" s="677"/>
      <c r="BQ27" s="677" t="str">
        <f t="shared" si="4"/>
        <v>N/A</v>
      </c>
      <c r="BR27" s="677"/>
      <c r="BS27" s="677" t="str">
        <f t="shared" si="5"/>
        <v>N/A</v>
      </c>
      <c r="BT27" s="677"/>
      <c r="BU27" s="677" t="str">
        <f t="shared" si="6"/>
        <v>N/A</v>
      </c>
      <c r="BV27" s="677"/>
      <c r="BW27" s="677" t="str">
        <f t="shared" si="7"/>
        <v>N/A</v>
      </c>
      <c r="BX27" s="677"/>
      <c r="BY27" s="677" t="str">
        <f t="shared" si="8"/>
        <v>N/A</v>
      </c>
      <c r="BZ27" s="677"/>
      <c r="CA27" s="677" t="str">
        <f t="shared" si="9"/>
        <v>N/A</v>
      </c>
      <c r="CB27" s="677"/>
      <c r="CC27" s="677" t="str">
        <f t="shared" si="10"/>
        <v>N/A</v>
      </c>
      <c r="CD27" s="677"/>
      <c r="CE27" s="677" t="str">
        <f t="shared" si="11"/>
        <v>N/A</v>
      </c>
      <c r="CF27" s="677"/>
      <c r="CG27" s="677" t="str">
        <f t="shared" si="12"/>
        <v>N/A</v>
      </c>
      <c r="CH27" s="677"/>
      <c r="CI27" s="677" t="str">
        <f t="shared" si="13"/>
        <v>N/A</v>
      </c>
      <c r="CJ27" s="677"/>
      <c r="CK27" s="677" t="str">
        <f t="shared" si="14"/>
        <v>N/A</v>
      </c>
      <c r="CL27" s="677"/>
      <c r="CM27" s="677" t="str">
        <f t="shared" si="15"/>
        <v>N/A</v>
      </c>
      <c r="CN27" s="677"/>
      <c r="CO27" s="677" t="str">
        <f t="shared" si="16"/>
        <v>N/A</v>
      </c>
      <c r="CP27" s="677"/>
      <c r="CQ27" s="677" t="str">
        <f t="shared" si="17"/>
        <v>N/A</v>
      </c>
      <c r="CR27" s="677"/>
      <c r="CS27" s="677" t="str">
        <f t="shared" si="18"/>
        <v>N/A</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4"/>
      <c r="BA28" s="700"/>
      <c r="BB28" s="715"/>
      <c r="BC28" s="716"/>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1"/>
      <c r="CS28" s="681"/>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7" t="s">
        <v>647</v>
      </c>
      <c r="BA29" s="681"/>
      <c r="BB29" s="681"/>
      <c r="BC29" s="681"/>
      <c r="BD29" s="681"/>
      <c r="BE29" s="681"/>
      <c r="BF29" s="681"/>
      <c r="BG29" s="681"/>
      <c r="BH29" s="681"/>
      <c r="BI29" s="681"/>
      <c r="BJ29" s="681"/>
      <c r="BK29" s="681"/>
      <c r="BL29" s="681"/>
      <c r="BM29" s="681"/>
      <c r="BN29" s="681"/>
      <c r="BO29" s="681"/>
      <c r="BP29" s="681"/>
      <c r="BQ29" s="681"/>
      <c r="BR29" s="681"/>
      <c r="BS29" s="681"/>
      <c r="BT29" s="681"/>
      <c r="BU29" s="681"/>
      <c r="BV29" s="681"/>
      <c r="BW29" s="681"/>
      <c r="BX29" s="681"/>
      <c r="BY29" s="681"/>
      <c r="BZ29" s="681"/>
      <c r="CA29" s="681"/>
      <c r="CB29" s="681"/>
      <c r="CC29" s="681"/>
      <c r="CD29" s="681"/>
      <c r="CE29" s="681"/>
      <c r="CF29" s="681"/>
      <c r="CG29" s="681"/>
      <c r="CH29" s="681"/>
      <c r="CI29" s="681"/>
      <c r="CJ29" s="681"/>
      <c r="CK29" s="681"/>
      <c r="CL29" s="681"/>
      <c r="CM29" s="681"/>
      <c r="CN29" s="681"/>
      <c r="CO29" s="681"/>
      <c r="CP29" s="681"/>
      <c r="CQ29" s="681"/>
      <c r="CR29" s="681"/>
      <c r="CS29" s="681"/>
      <c r="CT29" s="484"/>
      <c r="CU29" s="484"/>
      <c r="CV29" s="484"/>
      <c r="CW29" s="514"/>
    </row>
    <row r="30" spans="3:101" ht="18" customHeight="1">
      <c r="C30" s="301" t="s">
        <v>267</v>
      </c>
      <c r="D30" s="924" t="s">
        <v>370</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Z30" s="661" t="s">
        <v>16</v>
      </c>
      <c r="BA30" s="661" t="s">
        <v>17</v>
      </c>
      <c r="BB30" s="661" t="s">
        <v>18</v>
      </c>
      <c r="BC30" s="661">
        <v>2000</v>
      </c>
      <c r="BD30" s="661"/>
      <c r="BE30" s="661">
        <v>2001</v>
      </c>
      <c r="BF30" s="661"/>
      <c r="BG30" s="661">
        <v>2002</v>
      </c>
      <c r="BH30" s="661"/>
      <c r="BI30" s="661">
        <v>2003</v>
      </c>
      <c r="BJ30" s="661"/>
      <c r="BK30" s="661">
        <v>2004</v>
      </c>
      <c r="BL30" s="661"/>
      <c r="BM30" s="661">
        <v>2005</v>
      </c>
      <c r="BN30" s="661"/>
      <c r="BO30" s="661">
        <v>2006</v>
      </c>
      <c r="BP30" s="661"/>
      <c r="BQ30" s="661">
        <v>2007</v>
      </c>
      <c r="BR30" s="661"/>
      <c r="BS30" s="661">
        <v>2008</v>
      </c>
      <c r="BT30" s="661"/>
      <c r="BU30" s="661">
        <v>2009</v>
      </c>
      <c r="BV30" s="661"/>
      <c r="BW30" s="661">
        <v>2010</v>
      </c>
      <c r="BX30" s="661"/>
      <c r="BY30" s="661">
        <v>2011</v>
      </c>
      <c r="BZ30" s="661"/>
      <c r="CA30" s="661">
        <v>2012</v>
      </c>
      <c r="CB30" s="661"/>
      <c r="CC30" s="661">
        <v>2013</v>
      </c>
      <c r="CD30" s="661"/>
      <c r="CE30" s="661">
        <v>2014</v>
      </c>
      <c r="CF30" s="661"/>
      <c r="CG30" s="661">
        <v>2015</v>
      </c>
      <c r="CH30" s="661"/>
      <c r="CI30" s="661">
        <v>2016</v>
      </c>
      <c r="CJ30" s="661"/>
      <c r="CK30" s="661">
        <v>2017</v>
      </c>
      <c r="CL30" s="661"/>
      <c r="CM30" s="661">
        <v>2018</v>
      </c>
      <c r="CN30" s="661"/>
      <c r="CO30" s="661">
        <v>2019</v>
      </c>
      <c r="CP30" s="661"/>
      <c r="CQ30" s="661">
        <v>2020</v>
      </c>
      <c r="CR30" s="661"/>
      <c r="CS30" s="661">
        <v>2021</v>
      </c>
      <c r="CT30" s="249"/>
      <c r="CU30" s="248"/>
      <c r="CV30" s="484"/>
      <c r="CW30" s="299"/>
    </row>
    <row r="31" spans="1:101" ht="21.75" customHeight="1">
      <c r="A31" s="297"/>
      <c r="B31" s="297"/>
      <c r="C31" s="301" t="s">
        <v>267</v>
      </c>
      <c r="D31" s="930" t="s">
        <v>330</v>
      </c>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410"/>
      <c r="AZ31" s="698">
        <v>1</v>
      </c>
      <c r="BA31" s="706" t="s">
        <v>252</v>
      </c>
      <c r="BB31" s="667" t="s">
        <v>648</v>
      </c>
      <c r="BC31" s="667">
        <f>F8</f>
        <v>0</v>
      </c>
      <c r="BD31" s="667"/>
      <c r="BE31" s="667">
        <f>H8</f>
        <v>0</v>
      </c>
      <c r="BF31" s="667"/>
      <c r="BG31" s="667">
        <f>J8</f>
        <v>0</v>
      </c>
      <c r="BH31" s="667"/>
      <c r="BI31" s="667">
        <f>L8</f>
        <v>0</v>
      </c>
      <c r="BJ31" s="667"/>
      <c r="BK31" s="667">
        <f>N8</f>
        <v>0</v>
      </c>
      <c r="BL31" s="667"/>
      <c r="BM31" s="667">
        <f>P8</f>
        <v>0</v>
      </c>
      <c r="BN31" s="667"/>
      <c r="BO31" s="667">
        <f>R8</f>
        <v>0</v>
      </c>
      <c r="BP31" s="667"/>
      <c r="BQ31" s="667">
        <f>T8</f>
        <v>0</v>
      </c>
      <c r="BR31" s="667"/>
      <c r="BS31" s="667">
        <f>V8</f>
        <v>0</v>
      </c>
      <c r="BT31" s="667"/>
      <c r="BU31" s="667">
        <f>X8</f>
        <v>0</v>
      </c>
      <c r="BV31" s="667"/>
      <c r="BW31" s="667">
        <f>Z8</f>
        <v>0</v>
      </c>
      <c r="BX31" s="667"/>
      <c r="BY31" s="667">
        <f>AB8</f>
        <v>0</v>
      </c>
      <c r="BZ31" s="667"/>
      <c r="CA31" s="667">
        <f>AD8</f>
        <v>0</v>
      </c>
      <c r="CB31" s="667"/>
      <c r="CC31" s="667">
        <f>AF8</f>
        <v>0</v>
      </c>
      <c r="CD31" s="667"/>
      <c r="CE31" s="667">
        <f>AH8</f>
        <v>0</v>
      </c>
      <c r="CF31" s="667"/>
      <c r="CG31" s="667">
        <f>AJ8</f>
        <v>0</v>
      </c>
      <c r="CH31" s="667"/>
      <c r="CI31" s="667">
        <f>AL8</f>
        <v>0</v>
      </c>
      <c r="CJ31" s="667"/>
      <c r="CK31" s="667">
        <f>AN8</f>
        <v>0</v>
      </c>
      <c r="CL31" s="667"/>
      <c r="CM31" s="667">
        <f>AP8</f>
        <v>0</v>
      </c>
      <c r="CN31" s="667"/>
      <c r="CO31" s="667">
        <f>AR8</f>
        <v>0</v>
      </c>
      <c r="CP31" s="667"/>
      <c r="CQ31" s="667">
        <f>AT8</f>
        <v>0</v>
      </c>
      <c r="CR31" s="667"/>
      <c r="CS31" s="667">
        <f>AV8</f>
        <v>182000</v>
      </c>
      <c r="CT31" s="60"/>
      <c r="CU31" s="265"/>
      <c r="CV31" s="484"/>
      <c r="CW31" s="299"/>
    </row>
    <row r="32" spans="1:101" ht="14.25" customHeight="1">
      <c r="A32" s="297"/>
      <c r="B32" s="297"/>
      <c r="C32" s="301" t="s">
        <v>267</v>
      </c>
      <c r="D32" s="924" t="s">
        <v>332</v>
      </c>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410"/>
      <c r="AZ32" s="687">
        <v>21</v>
      </c>
      <c r="BA32" s="683" t="s">
        <v>649</v>
      </c>
      <c r="BB32" s="667" t="s">
        <v>648</v>
      </c>
      <c r="BC32" s="667">
        <f>SUM(F9:F12)+SUM(F14:F16)</f>
        <v>0</v>
      </c>
      <c r="BD32" s="667"/>
      <c r="BE32" s="667">
        <f>SUM(H9:H12)+SUM(H14:H16)</f>
        <v>0</v>
      </c>
      <c r="BF32" s="667"/>
      <c r="BG32" s="667">
        <f>SUM(J9:J12)+SUM(J14:J16)</f>
        <v>0</v>
      </c>
      <c r="BH32" s="667"/>
      <c r="BI32" s="667">
        <f>SUM(L9:L12)+SUM(L14:L16)</f>
        <v>0</v>
      </c>
      <c r="BJ32" s="667"/>
      <c r="BK32" s="667">
        <f>SUM(N9:N12)+SUM(N14:N16)</f>
        <v>0</v>
      </c>
      <c r="BL32" s="667"/>
      <c r="BM32" s="667">
        <f>SUM(P9:P12)+SUM(P14:P16)</f>
        <v>0</v>
      </c>
      <c r="BN32" s="667"/>
      <c r="BO32" s="667">
        <f>SUM(R9:R12)+SUM(R14:R16)</f>
        <v>0</v>
      </c>
      <c r="BP32" s="667"/>
      <c r="BQ32" s="667">
        <f>SUM(T9:T12)+SUM(T14:T16)</f>
        <v>0</v>
      </c>
      <c r="BR32" s="667"/>
      <c r="BS32" s="667">
        <f>SUM(V9:V12)+SUM(V14:V16)</f>
        <v>0</v>
      </c>
      <c r="BT32" s="667"/>
      <c r="BU32" s="667">
        <f>SUM(X9:X12)+SUM(X14:X16)</f>
        <v>0</v>
      </c>
      <c r="BV32" s="667"/>
      <c r="BW32" s="667">
        <f>SUM(Z9:Z12)+SUM(Z14:Z16)</f>
        <v>0</v>
      </c>
      <c r="BX32" s="667"/>
      <c r="BY32" s="667">
        <f>SUM(AB9:AB12)+SUM(AB14:AB16)</f>
        <v>0</v>
      </c>
      <c r="BZ32" s="667"/>
      <c r="CA32" s="667">
        <f>SUM(AD9:AD12)+SUM(AD14:AD16)</f>
        <v>0</v>
      </c>
      <c r="CB32" s="667"/>
      <c r="CC32" s="667">
        <f>SUM(AF9:AF12)+SUM(AF14:AF16)</f>
        <v>0</v>
      </c>
      <c r="CD32" s="667"/>
      <c r="CE32" s="667">
        <f>SUM(AH9:AH12)+SUM(AH14:AH16)</f>
        <v>0</v>
      </c>
      <c r="CF32" s="667"/>
      <c r="CG32" s="667">
        <f>SUM(AJ9:AJ12)+SUM(AJ14:AJ16)</f>
        <v>0</v>
      </c>
      <c r="CH32" s="667"/>
      <c r="CI32" s="667">
        <f>SUM(AL9:AL12)+SUM(AL14:AL16)</f>
        <v>0</v>
      </c>
      <c r="CJ32" s="667"/>
      <c r="CK32" s="667">
        <f>SUM(AN9:AN12)+SUM(AN14:AN16)</f>
        <v>0</v>
      </c>
      <c r="CL32" s="667"/>
      <c r="CM32" s="667">
        <f>SUM(AP9:AP12)+SUM(AP14:AP16)</f>
        <v>0</v>
      </c>
      <c r="CN32" s="667"/>
      <c r="CO32" s="667">
        <f>SUM(AR9:AR12)+SUM(AR14:AR16)</f>
        <v>0</v>
      </c>
      <c r="CP32" s="667"/>
      <c r="CQ32" s="667">
        <f>SUM(AT9:AT12)+SUM(AT14:AT16)</f>
        <v>0</v>
      </c>
      <c r="CR32" s="667"/>
      <c r="CS32" s="667">
        <f>SUM(AV9:AV12)+SUM(AV14:AV16)</f>
        <v>0</v>
      </c>
      <c r="CT32" s="60"/>
      <c r="CU32" s="265"/>
      <c r="CV32" s="484"/>
      <c r="CW32" s="299"/>
    </row>
    <row r="33" spans="1:99" ht="13.5" customHeight="1">
      <c r="A33" s="297"/>
      <c r="B33" s="297"/>
      <c r="C33" s="30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410"/>
      <c r="AZ33" s="684" t="s">
        <v>295</v>
      </c>
      <c r="BA33" s="683" t="s">
        <v>650</v>
      </c>
      <c r="BB33" s="667"/>
      <c r="BC33" s="667" t="str">
        <f>IF(OR(ISBLANK(F8),ISBLANK(F9),ISBLANK(F10),ISBLANK(F11),ISBLANK(F12),ISBLANK(F14),ISBLANK(F15),ISBLANK(F16)),"N/A",IF((BC31=BC32),"ok","&lt;&gt;"))</f>
        <v>N/A</v>
      </c>
      <c r="BD33" s="667"/>
      <c r="BE33" s="667" t="str">
        <f>IF(OR(ISBLANK(H8),ISBLANK(H9),ISBLANK(H10),ISBLANK(H11),ISBLANK(H12),ISBLANK(H14),ISBLANK(H15),ISBLANK(H16)),"N/A",IF((BE31=BE32),"ok","&lt;&gt;"))</f>
        <v>N/A</v>
      </c>
      <c r="BF33" s="667"/>
      <c r="BG33" s="667" t="str">
        <f>IF(OR(ISBLANK(J8),ISBLANK(J9),ISBLANK(J10),ISBLANK(J11),ISBLANK(J12),ISBLANK(J14),ISBLANK(J15),ISBLANK(J16)),"N/A",IF((BG31=BG32),"ok","&lt;&gt;"))</f>
        <v>N/A</v>
      </c>
      <c r="BH33" s="667"/>
      <c r="BI33" s="667" t="str">
        <f>IF(OR(ISBLANK(L8),ISBLANK(L9),ISBLANK(L10),ISBLANK(L11),ISBLANK(L12),ISBLANK(L14),ISBLANK(L15),ISBLANK(L16)),"N/A",IF((BI31=BI32),"ok","&lt;&gt;"))</f>
        <v>N/A</v>
      </c>
      <c r="BJ33" s="667"/>
      <c r="BK33" s="667" t="str">
        <f>IF(OR(ISBLANK(N8),ISBLANK(N9),ISBLANK(N10),ISBLANK(N11),ISBLANK(N12),ISBLANK(N14),ISBLANK(N15),ISBLANK(N16)),"N/A",IF((BK31=BK32),"ok","&lt;&gt;"))</f>
        <v>N/A</v>
      </c>
      <c r="BL33" s="667"/>
      <c r="BM33" s="667" t="str">
        <f>IF(OR(ISBLANK(P8),ISBLANK(P9),ISBLANK(P10),ISBLANK(P11),ISBLANK(P12),ISBLANK(P14),ISBLANK(P15),ISBLANK(P16)),"N/A",IF((BM31=BM32),"ok","&lt;&gt;"))</f>
        <v>N/A</v>
      </c>
      <c r="BN33" s="667"/>
      <c r="BO33" s="667" t="str">
        <f>IF(OR(ISBLANK(R8),ISBLANK(R9),ISBLANK(R10),ISBLANK(R11),ISBLANK(R12),ISBLANK(R14),ISBLANK(R15),ISBLANK(R16)),"N/A",IF((BO31=BO32),"ok","&lt;&gt;"))</f>
        <v>N/A</v>
      </c>
      <c r="BP33" s="667"/>
      <c r="BQ33" s="667" t="str">
        <f>IF(OR(ISBLANK(T8),ISBLANK(T9),ISBLANK(T10),ISBLANK(T11),ISBLANK(T12),ISBLANK(T14),ISBLANK(T15),ISBLANK(T16)),"N/A",IF((BQ31=BQ32),"ok","&lt;&gt;"))</f>
        <v>N/A</v>
      </c>
      <c r="BR33" s="667"/>
      <c r="BS33" s="667" t="str">
        <f>IF(OR(ISBLANK(V8),ISBLANK(V9),ISBLANK(V10),ISBLANK(V11),ISBLANK(V12),ISBLANK(V14),ISBLANK(V15),ISBLANK(V16)),"N/A",IF((BS31=BS32),"ok","&lt;&gt;"))</f>
        <v>N/A</v>
      </c>
      <c r="BT33" s="667"/>
      <c r="BU33" s="667" t="str">
        <f>IF(OR(ISBLANK(X8),ISBLANK(X9),ISBLANK(X10),ISBLANK(X11),ISBLANK(X12),ISBLANK(X14),ISBLANK(X15),ISBLANK(X16)),"N/A",IF((BU31=BU32),"ok","&lt;&gt;"))</f>
        <v>N/A</v>
      </c>
      <c r="BV33" s="667"/>
      <c r="BW33" s="667" t="str">
        <f>IF(OR(ISBLANK(Z8),ISBLANK(Z9),ISBLANK(Z10),ISBLANK(Z11),ISBLANK(Z12),ISBLANK(Z14),ISBLANK(Z15),ISBLANK(Z16)),"N/A",IF((BW31=BW32),"ok","&lt;&gt;"))</f>
        <v>N/A</v>
      </c>
      <c r="BX33" s="667"/>
      <c r="BY33" s="667" t="str">
        <f>IF(OR(ISBLANK(AB8),ISBLANK(AB9),ISBLANK(AB10),ISBLANK(AB11),ISBLANK(AB12),ISBLANK(AB14),ISBLANK(AB15),ISBLANK(AB16)),"N/A",IF((BY31=BY32),"ok","&lt;&gt;"))</f>
        <v>N/A</v>
      </c>
      <c r="BZ33" s="667"/>
      <c r="CA33" s="667" t="str">
        <f>IF(OR(ISBLANK(AD8),ISBLANK(AD9),ISBLANK(AD10),ISBLANK(AD11),ISBLANK(AD12),ISBLANK(AD14),ISBLANK(AD15),ISBLANK(AD16)),"N/A",IF((CA31=CA32),"ok","&lt;&gt;"))</f>
        <v>N/A</v>
      </c>
      <c r="CB33" s="667"/>
      <c r="CC33" s="667" t="str">
        <f>IF(OR(ISBLANK(AF8),ISBLANK(AF9),ISBLANK(AF10),ISBLANK(AF11),ISBLANK(AF12),ISBLANK(AF14),ISBLANK(AF15),ISBLANK(AF16)),"N/A",IF((CC31=CC32),"ok","&lt;&gt;"))</f>
        <v>N/A</v>
      </c>
      <c r="CD33" s="667"/>
      <c r="CE33" s="667" t="str">
        <f>IF(OR(ISBLANK(AH8),ISBLANK(AH9),ISBLANK(AH10),ISBLANK(AH11),ISBLANK(AH12),ISBLANK(AH14),ISBLANK(AH15),ISBLANK(AH16)),"N/A",IF((CE31=CE32),"ok","&lt;&gt;"))</f>
        <v>N/A</v>
      </c>
      <c r="CF33" s="667"/>
      <c r="CG33" s="667" t="str">
        <f>IF(OR(ISBLANK(AJ8),ISBLANK(AJ9),ISBLANK(AJ10),ISBLANK(AJ11),ISBLANK(AJ12),ISBLANK(AJ14),ISBLANK(AJ15),ISBLANK(AJ16)),"N/A",IF((CG31=CG32),"ok","&lt;&gt;"))</f>
        <v>N/A</v>
      </c>
      <c r="CH33" s="667"/>
      <c r="CI33" s="667" t="str">
        <f>IF(OR(ISBLANK(AL8),ISBLANK(AL9),ISBLANK(AL10),ISBLANK(AL11),ISBLANK(AL12),ISBLANK(AL14),ISBLANK(AL15),ISBLANK(AL16)),"N/A",IF((CI31=CI32),"ok","&lt;&gt;"))</f>
        <v>N/A</v>
      </c>
      <c r="CJ33" s="667"/>
      <c r="CK33" s="667" t="str">
        <f>IF(OR(ISBLANK(AN8),ISBLANK(AN9),ISBLANK(AN10),ISBLANK(AN11),ISBLANK(AN12),ISBLANK(AN14),ISBLANK(AN15),ISBLANK(AN16)),"N/A",IF((CK31=CK32),"ok","&lt;&gt;"))</f>
        <v>N/A</v>
      </c>
      <c r="CL33" s="667"/>
      <c r="CM33" s="667" t="str">
        <f>IF(OR(ISBLANK(AP8),ISBLANK(AP9),ISBLANK(AP10),ISBLANK(AP11),ISBLANK(AP12),ISBLANK(AP14),ISBLANK(AP15),ISBLANK(AP16)),"N/A",IF((CM31=CM32),"ok","&lt;&gt;"))</f>
        <v>N/A</v>
      </c>
      <c r="CN33" s="667"/>
      <c r="CO33" s="667" t="str">
        <f>IF(OR(ISBLANK(AR8),ISBLANK(AR9),ISBLANK(AR10),ISBLANK(AR11),ISBLANK(AR12),ISBLANK(AR14),ISBLANK(AR15),ISBLANK(AR16)),"N/A",IF((CO31=CO32),"ok","&lt;&gt;"))</f>
        <v>N/A</v>
      </c>
      <c r="CP33" s="667"/>
      <c r="CQ33" s="667" t="str">
        <f>IF(OR(ISBLANK(AT8),ISBLANK(AT9),ISBLANK(AT10),ISBLANK(AT11),ISBLANK(AT12),ISBLANK(AT14),ISBLANK(AT15),ISBLANK(AT16)),"N/A",IF((CQ31=CQ32),"ok","&lt;&gt;"))</f>
        <v>N/A</v>
      </c>
      <c r="CR33" s="667"/>
      <c r="CS33" s="667" t="str">
        <f>IF(OR(ISBLANK(AV8),ISBLANK(AV9),ISBLANK(AV10),ISBLANK(AV11),ISBLANK(AV12),ISBLANK(AV14),ISBLANK(AV15),ISBLANK(AV16)),"N/A",IF((CS31=CS32),"ok","&lt;&gt;"))</f>
        <v>N/A</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6" t="str">
        <f>D17&amp;" (W4,10)"</f>
        <v>المياه العادمة المعالجة في محطات معالجة المياه العادمة في الحضر (W4,10)</v>
      </c>
      <c r="V34" s="957"/>
      <c r="W34" s="957"/>
      <c r="X34" s="957"/>
      <c r="Y34" s="957"/>
      <c r="Z34" s="957"/>
      <c r="AA34" s="957"/>
      <c r="AB34" s="958"/>
      <c r="AC34" s="518"/>
      <c r="AD34" s="518"/>
      <c r="AE34" s="518"/>
      <c r="AF34" s="518"/>
      <c r="AG34" s="518"/>
      <c r="AH34" s="518"/>
      <c r="AI34" s="303"/>
      <c r="AJ34" s="608"/>
      <c r="AK34" s="608"/>
      <c r="AL34" s="608"/>
      <c r="AM34" s="303"/>
      <c r="AN34" s="303"/>
      <c r="AO34" s="303"/>
      <c r="AP34" s="303"/>
      <c r="AQ34" s="303"/>
      <c r="AR34" s="303"/>
      <c r="AS34" s="303"/>
      <c r="AT34" s="303"/>
      <c r="AU34" s="516"/>
      <c r="AV34" s="516"/>
      <c r="AW34" s="516"/>
      <c r="AX34" s="516"/>
      <c r="AY34" s="410"/>
      <c r="AZ34" s="687">
        <v>22</v>
      </c>
      <c r="BA34" s="683" t="s">
        <v>651</v>
      </c>
      <c r="BB34" s="667" t="s">
        <v>648</v>
      </c>
      <c r="BC34" s="667">
        <f>F17+F21+F25+F26</f>
        <v>0</v>
      </c>
      <c r="BD34" s="667"/>
      <c r="BE34" s="667">
        <f>H17+H21+H25+H26</f>
        <v>0</v>
      </c>
      <c r="BF34" s="667"/>
      <c r="BG34" s="667">
        <f>J17+J21+J25+J26</f>
        <v>0</v>
      </c>
      <c r="BH34" s="667"/>
      <c r="BI34" s="667">
        <f>L17+L21+L25+L26</f>
        <v>0</v>
      </c>
      <c r="BJ34" s="667"/>
      <c r="BK34" s="667">
        <f>N17+N21+N25+N26</f>
        <v>0</v>
      </c>
      <c r="BL34" s="667"/>
      <c r="BM34" s="667">
        <f>P17+P21+P25+P26</f>
        <v>0</v>
      </c>
      <c r="BN34" s="667"/>
      <c r="BO34" s="667">
        <f>R17+R21+R25+R26</f>
        <v>0</v>
      </c>
      <c r="BP34" s="667"/>
      <c r="BQ34" s="667">
        <f>T17+T21+T25+T26</f>
        <v>0</v>
      </c>
      <c r="BR34" s="667"/>
      <c r="BS34" s="667">
        <f>V17+V21+V25+V26</f>
        <v>0</v>
      </c>
      <c r="BT34" s="667"/>
      <c r="BU34" s="667">
        <f>X17+X21+X25+X26</f>
        <v>0</v>
      </c>
      <c r="BV34" s="667"/>
      <c r="BW34" s="667">
        <f>Z17+Z21+Z25+Z26</f>
        <v>0</v>
      </c>
      <c r="BX34" s="667"/>
      <c r="BY34" s="667">
        <f>AB17+AB21+AB25+AB26</f>
        <v>0</v>
      </c>
      <c r="BZ34" s="667"/>
      <c r="CA34" s="667">
        <f>AD17+AD21+AD25+AD26</f>
        <v>0</v>
      </c>
      <c r="CB34" s="667"/>
      <c r="CC34" s="667">
        <f>AF17+AF21+AF25+AF26</f>
        <v>0</v>
      </c>
      <c r="CD34" s="667"/>
      <c r="CE34" s="667">
        <f>AH17+AH21+AH25+AH26</f>
        <v>0</v>
      </c>
      <c r="CF34" s="667"/>
      <c r="CG34" s="667">
        <f>AJ17+AJ21+AJ25+AJ26</f>
        <v>0</v>
      </c>
      <c r="CH34" s="667"/>
      <c r="CI34" s="667">
        <f>AL17+AL21+AL25+AL26</f>
        <v>0</v>
      </c>
      <c r="CJ34" s="667"/>
      <c r="CK34" s="667">
        <f>AN17+AN21+AN25+AN26</f>
        <v>0</v>
      </c>
      <c r="CL34" s="667"/>
      <c r="CM34" s="667">
        <f>AP17+AP21+AP25+AP26</f>
        <v>0</v>
      </c>
      <c r="CN34" s="667"/>
      <c r="CO34" s="667">
        <f>AR17+AR21+AR25+AR26</f>
        <v>0</v>
      </c>
      <c r="CP34" s="667"/>
      <c r="CQ34" s="667">
        <f>AT17+AT21+AT25+AT26</f>
        <v>0</v>
      </c>
      <c r="CR34" s="667"/>
      <c r="CS34" s="667">
        <f>AV17+AV21+AV25+AV26</f>
        <v>0</v>
      </c>
      <c r="CT34" s="60"/>
      <c r="CU34" s="265"/>
      <c r="CV34" s="484"/>
      <c r="CW34" s="299"/>
      <c r="CX34" s="299"/>
      <c r="CY34" s="299"/>
      <c r="CZ34" s="299"/>
      <c r="DA34" s="299"/>
      <c r="DB34" s="299"/>
      <c r="DC34" s="299"/>
    </row>
    <row r="35" spans="1:107" ht="7.5" customHeight="1">
      <c r="A35" s="297"/>
      <c r="B35" s="297"/>
      <c r="C35" s="301"/>
      <c r="D35" s="617"/>
      <c r="E35" s="516"/>
      <c r="F35" s="516"/>
      <c r="G35" s="516"/>
      <c r="H35" s="516"/>
      <c r="I35" s="516"/>
      <c r="J35" s="516"/>
      <c r="K35" s="516"/>
      <c r="L35" s="516"/>
      <c r="M35" s="516"/>
      <c r="N35" s="516"/>
      <c r="O35" s="516"/>
      <c r="P35" s="516"/>
      <c r="Q35" s="516"/>
      <c r="R35" s="516"/>
      <c r="S35" s="516"/>
      <c r="T35" s="516"/>
      <c r="U35" s="617"/>
      <c r="V35" s="617"/>
      <c r="W35" s="617"/>
      <c r="X35" s="617"/>
      <c r="Y35" s="617"/>
      <c r="Z35" s="617"/>
      <c r="AA35" s="617"/>
      <c r="AB35" s="617"/>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4"/>
      <c r="BA35" s="683"/>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9" t="str">
        <f>D8&amp;" (W4,1)"</f>
        <v>إجمالي المياه العادمة المنتجة (W4,1)</v>
      </c>
      <c r="K36" s="951"/>
      <c r="L36" s="951"/>
      <c r="M36" s="951"/>
      <c r="N36" s="952"/>
      <c r="O36" s="516"/>
      <c r="P36" s="516"/>
      <c r="Q36" s="516"/>
      <c r="R36" s="516"/>
      <c r="S36" s="516"/>
      <c r="T36" s="516"/>
      <c r="U36" s="208"/>
      <c r="V36" s="208"/>
      <c r="W36" s="208"/>
      <c r="X36" s="208"/>
      <c r="Y36" s="208"/>
      <c r="Z36" s="208"/>
      <c r="AA36" s="208"/>
      <c r="AB36" s="208"/>
      <c r="AC36" s="607"/>
      <c r="AD36" s="607"/>
      <c r="AE36" s="607"/>
      <c r="AF36" s="607"/>
      <c r="AG36" s="607"/>
      <c r="AH36" s="518"/>
      <c r="AI36" s="519"/>
      <c r="AJ36" s="519"/>
      <c r="AK36" s="519"/>
      <c r="AL36" s="519"/>
      <c r="AM36" s="303"/>
      <c r="AN36" s="303"/>
      <c r="AO36" s="303"/>
      <c r="AP36" s="303"/>
      <c r="AQ36" s="303"/>
      <c r="AR36" s="303"/>
      <c r="AS36" s="303"/>
      <c r="AT36" s="303"/>
      <c r="AU36" s="516"/>
      <c r="AV36" s="516"/>
      <c r="AW36" s="516"/>
      <c r="AX36" s="516"/>
      <c r="AY36" s="410"/>
      <c r="AZ36" s="684" t="s">
        <v>295</v>
      </c>
      <c r="BA36" s="683" t="s">
        <v>652</v>
      </c>
      <c r="BB36" s="667"/>
      <c r="BC36" s="667" t="str">
        <f>IF(OR(ISBLANK(F8),ISBLANK(F17),ISBLANK(F21),ISBLANK(F25),ISBLANK(F26)),"N/A",IF((BC31=BC34),"ok","&lt;&gt;"))</f>
        <v>N/A</v>
      </c>
      <c r="BD36" s="667"/>
      <c r="BE36" s="667" t="str">
        <f>IF(OR(ISBLANK(H8),ISBLANK(H17),ISBLANK(H21),ISBLANK(H25),ISBLANK(H26)),"N/A",IF((BE31=BE34),"ok","&lt;&gt;"))</f>
        <v>N/A</v>
      </c>
      <c r="BF36" s="667"/>
      <c r="BG36" s="667" t="str">
        <f>IF(OR(ISBLANK(J8),ISBLANK(J17),ISBLANK(J21),ISBLANK(J25),ISBLANK(J26)),"N/A",IF((BG31=BG34),"ok","&lt;&gt;"))</f>
        <v>N/A</v>
      </c>
      <c r="BH36" s="667"/>
      <c r="BI36" s="667" t="str">
        <f>IF(OR(ISBLANK(L8),ISBLANK(L17),ISBLANK(L21),ISBLANK(L25),ISBLANK(L26)),"N/A",IF((BI31=BI34),"ok","&lt;&gt;"))</f>
        <v>N/A</v>
      </c>
      <c r="BJ36" s="667"/>
      <c r="BK36" s="667" t="str">
        <f>IF(OR(ISBLANK(N8),ISBLANK(N17),ISBLANK(N21),ISBLANK(N25),ISBLANK(N26)),"N/A",IF((BK31=BK34),"ok","&lt;&gt;"))</f>
        <v>N/A</v>
      </c>
      <c r="BL36" s="667"/>
      <c r="BM36" s="667" t="str">
        <f>IF(OR(ISBLANK(P8),ISBLANK(P17),ISBLANK(P21),ISBLANK(P25),ISBLANK(P26)),"N/A",IF((BM31=BM34),"ok","&lt;&gt;"))</f>
        <v>N/A</v>
      </c>
      <c r="BN36" s="667"/>
      <c r="BO36" s="667" t="str">
        <f>IF(OR(ISBLANK(R8),ISBLANK(R17),ISBLANK(R21),ISBLANK(R25),ISBLANK(R26)),"N/A",IF((BO31=BO34),"ok","&lt;&gt;"))</f>
        <v>N/A</v>
      </c>
      <c r="BP36" s="667"/>
      <c r="BQ36" s="667" t="str">
        <f>IF(OR(ISBLANK(T8),ISBLANK(T17),ISBLANK(T21),ISBLANK(T25),ISBLANK(T26)),"N/A",IF((BQ31=BQ34),"ok","&lt;&gt;"))</f>
        <v>N/A</v>
      </c>
      <c r="BR36" s="667"/>
      <c r="BS36" s="667" t="str">
        <f>IF(OR(ISBLANK(V8),ISBLANK(V17),ISBLANK(V21),ISBLANK(V25),ISBLANK(V26)),"N/A",IF((BS31=BS34),"ok","&lt;&gt;"))</f>
        <v>N/A</v>
      </c>
      <c r="BT36" s="667"/>
      <c r="BU36" s="667" t="str">
        <f>IF(OR(ISBLANK(X8),ISBLANK(X17),ISBLANK(X21),ISBLANK(X25),ISBLANK(X26)),"N/A",IF((BU31=BU34),"ok","&lt;&gt;"))</f>
        <v>N/A</v>
      </c>
      <c r="BV36" s="667"/>
      <c r="BW36" s="667" t="str">
        <f>IF(OR(ISBLANK(Z8),ISBLANK(Z17),ISBLANK(Z21),ISBLANK(Z25),ISBLANK(Z26)),"N/A",IF((BW31=BW34),"ok","&lt;&gt;"))</f>
        <v>N/A</v>
      </c>
      <c r="BX36" s="667"/>
      <c r="BY36" s="667" t="str">
        <f>IF(OR(ISBLANK(AB8),ISBLANK(AB17),ISBLANK(AB21),ISBLANK(AB25),ISBLANK(AB26)),"N/A",IF((BY31=BY34),"ok","&lt;&gt;"))</f>
        <v>N/A</v>
      </c>
      <c r="BZ36" s="667"/>
      <c r="CA36" s="667" t="str">
        <f>IF(OR(ISBLANK(AD8),ISBLANK(AD17),ISBLANK(AD21),ISBLANK(AD25),ISBLANK(AD26)),"N/A",IF((CA31=CA34),"ok","&lt;&gt;"))</f>
        <v>N/A</v>
      </c>
      <c r="CB36" s="667"/>
      <c r="CC36" s="667" t="str">
        <f>IF(OR(ISBLANK(AF8),ISBLANK(AF17),ISBLANK(AF21),ISBLANK(AF25),ISBLANK(AF26)),"N/A",IF((CC31=CC34),"ok","&lt;&gt;"))</f>
        <v>N/A</v>
      </c>
      <c r="CD36" s="667"/>
      <c r="CE36" s="667" t="str">
        <f>IF(OR(ISBLANK(AH8),ISBLANK(AH17),ISBLANK(AH21),ISBLANK(AH25),ISBLANK(AH26)),"N/A",IF((CE31=CE34),"ok","&lt;&gt;"))</f>
        <v>N/A</v>
      </c>
      <c r="CF36" s="667"/>
      <c r="CG36" s="667" t="str">
        <f>IF(OR(ISBLANK(AJ8),ISBLANK(AJ17),ISBLANK(AJ21),ISBLANK(AJ25),ISBLANK(AJ26)),"N/A",IF((CG31=CG34),"ok","&lt;&gt;"))</f>
        <v>N/A</v>
      </c>
      <c r="CH36" s="667"/>
      <c r="CI36" s="667" t="str">
        <f>IF(OR(ISBLANK(AL8),ISBLANK(AL17),ISBLANK(AL21),ISBLANK(AL25),ISBLANK(AL26)),"N/A",IF((CI31=CI34),"ok","&lt;&gt;"))</f>
        <v>N/A</v>
      </c>
      <c r="CJ36" s="667"/>
      <c r="CK36" s="667" t="str">
        <f>IF(OR(ISBLANK(AN8),ISBLANK(AN17),ISBLANK(AN21),ISBLANK(AN25),ISBLANK(AN26)),"N/A",IF((CK31=CK34),"ok","&lt;&gt;"))</f>
        <v>N/A</v>
      </c>
      <c r="CL36" s="667"/>
      <c r="CM36" s="667" t="str">
        <f>IF(OR(ISBLANK(AP8),ISBLANK(AP17),ISBLANK(AP21),ISBLANK(AP25),ISBLANK(AP26)),"N/A",IF((CM31=CM34),"ok","&lt;&gt;"))</f>
        <v>N/A</v>
      </c>
      <c r="CN36" s="667"/>
      <c r="CO36" s="667" t="str">
        <f>IF(OR(ISBLANK(AR8),ISBLANK(AR17),ISBLANK(AR21),ISBLANK(AR25),ISBLANK(AR26)),"N/A",IF((CO31=CO34),"ok","&lt;&gt;"))</f>
        <v>N/A</v>
      </c>
      <c r="CP36" s="667"/>
      <c r="CQ36" s="667" t="str">
        <f>IF(OR(ISBLANK(AT8),ISBLANK(AT17),ISBLANK(AT21),ISBLANK(AT25),ISBLANK(AT26)),"N/A",IF((CQ31=CQ34),"ok","&lt;&gt;"))</f>
        <v>N/A</v>
      </c>
      <c r="CR36" s="667"/>
      <c r="CS36" s="667"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60"/>
      <c r="K37" s="961"/>
      <c r="L37" s="961"/>
      <c r="M37" s="961"/>
      <c r="N37" s="962"/>
      <c r="O37" s="516"/>
      <c r="P37" s="516"/>
      <c r="Q37" s="516"/>
      <c r="R37" s="516"/>
      <c r="S37" s="516"/>
      <c r="T37" s="516"/>
      <c r="U37" s="516"/>
      <c r="V37" s="516"/>
      <c r="W37" s="516"/>
      <c r="X37" s="516"/>
      <c r="Y37" s="518"/>
      <c r="Z37" s="516"/>
      <c r="AA37" s="516"/>
      <c r="AB37" s="516"/>
      <c r="AC37" s="607"/>
      <c r="AD37" s="607"/>
      <c r="AE37" s="607"/>
      <c r="AF37" s="607"/>
      <c r="AG37" s="607"/>
      <c r="AH37" s="518"/>
      <c r="AI37" s="518"/>
      <c r="AJ37" s="518"/>
      <c r="AK37" s="518"/>
      <c r="AL37" s="518"/>
      <c r="AM37" s="519"/>
      <c r="AN37" s="519"/>
      <c r="AO37" s="519"/>
      <c r="AP37" s="519"/>
      <c r="AQ37" s="519"/>
      <c r="AR37" s="519"/>
      <c r="AS37" s="519"/>
      <c r="AT37" s="519"/>
      <c r="AU37" s="516"/>
      <c r="AV37" s="517"/>
      <c r="AW37" s="517"/>
      <c r="AX37" s="516"/>
      <c r="AY37" s="410"/>
      <c r="AZ37" s="717"/>
      <c r="BA37" s="718"/>
      <c r="BB37" s="719"/>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60"/>
      <c r="K38" s="961"/>
      <c r="L38" s="961"/>
      <c r="M38" s="961"/>
      <c r="N38" s="962"/>
      <c r="O38" s="516"/>
      <c r="P38" s="516"/>
      <c r="Q38" s="516"/>
      <c r="R38" s="516"/>
      <c r="S38" s="516"/>
      <c r="T38" s="516"/>
      <c r="U38" s="956" t="str">
        <f>D21&amp;" (W4,14)"</f>
        <v>المياه العادمة المعالجة في محطات معالجة أخرى (W4,14)</v>
      </c>
      <c r="V38" s="957"/>
      <c r="W38" s="957"/>
      <c r="X38" s="957"/>
      <c r="Y38" s="957"/>
      <c r="Z38" s="957"/>
      <c r="AA38" s="957"/>
      <c r="AB38" s="958"/>
      <c r="AC38" s="607"/>
      <c r="AD38" s="607"/>
      <c r="AE38" s="607"/>
      <c r="AF38" s="607"/>
      <c r="AG38" s="607"/>
      <c r="AH38" s="518"/>
      <c r="AI38" s="307"/>
      <c r="AJ38" s="308"/>
      <c r="AK38" s="308"/>
      <c r="AL38" s="308"/>
      <c r="AM38" s="303"/>
      <c r="AN38" s="303"/>
      <c r="AO38" s="303"/>
      <c r="AP38" s="303"/>
      <c r="AQ38" s="303"/>
      <c r="AR38" s="303"/>
      <c r="AS38" s="303"/>
      <c r="AT38" s="303"/>
      <c r="AU38" s="516"/>
      <c r="AV38" s="516"/>
      <c r="AW38" s="516"/>
      <c r="AX38" s="516"/>
      <c r="AY38" s="410"/>
      <c r="AZ38" s="667">
        <v>14</v>
      </c>
      <c r="BA38" s="668" t="s">
        <v>261</v>
      </c>
      <c r="BB38" s="667" t="s">
        <v>648</v>
      </c>
      <c r="BC38" s="667">
        <f>F17</f>
        <v>0</v>
      </c>
      <c r="BD38" s="667"/>
      <c r="BE38" s="667">
        <f>H17</f>
        <v>0</v>
      </c>
      <c r="BF38" s="667"/>
      <c r="BG38" s="667">
        <f>J17</f>
        <v>0</v>
      </c>
      <c r="BH38" s="667"/>
      <c r="BI38" s="667">
        <f>L17</f>
        <v>0</v>
      </c>
      <c r="BJ38" s="667"/>
      <c r="BK38" s="667">
        <f>N17</f>
        <v>0</v>
      </c>
      <c r="BL38" s="667"/>
      <c r="BM38" s="667">
        <f>P17</f>
        <v>0</v>
      </c>
      <c r="BN38" s="667"/>
      <c r="BO38" s="667">
        <f>R17</f>
        <v>0</v>
      </c>
      <c r="BP38" s="667"/>
      <c r="BQ38" s="667">
        <f>T17</f>
        <v>0</v>
      </c>
      <c r="BR38" s="667"/>
      <c r="BS38" s="667">
        <f>V17</f>
        <v>0</v>
      </c>
      <c r="BT38" s="667"/>
      <c r="BU38" s="667">
        <f>X17</f>
        <v>0</v>
      </c>
      <c r="BV38" s="667"/>
      <c r="BW38" s="667">
        <f>Z17</f>
        <v>0</v>
      </c>
      <c r="BX38" s="667"/>
      <c r="BY38" s="667">
        <f>AB17</f>
        <v>0</v>
      </c>
      <c r="BZ38" s="667"/>
      <c r="CA38" s="667">
        <f>AD17</f>
        <v>0</v>
      </c>
      <c r="CB38" s="667"/>
      <c r="CC38" s="667">
        <f>AF17</f>
        <v>0</v>
      </c>
      <c r="CD38" s="667"/>
      <c r="CE38" s="667">
        <f>AH17</f>
        <v>0</v>
      </c>
      <c r="CF38" s="667"/>
      <c r="CG38" s="667">
        <f>AJ17</f>
        <v>0</v>
      </c>
      <c r="CH38" s="667"/>
      <c r="CI38" s="667">
        <f>AL17</f>
        <v>0</v>
      </c>
      <c r="CJ38" s="667"/>
      <c r="CK38" s="667">
        <f>AN17</f>
        <v>0</v>
      </c>
      <c r="CL38" s="667"/>
      <c r="CM38" s="667">
        <f>AP17</f>
        <v>0</v>
      </c>
      <c r="CN38" s="667"/>
      <c r="CO38" s="667">
        <f>AR17</f>
        <v>0</v>
      </c>
      <c r="CP38" s="667"/>
      <c r="CQ38" s="667">
        <f>AT17</f>
        <v>0</v>
      </c>
      <c r="CR38" s="667"/>
      <c r="CS38" s="667">
        <f>AV17</f>
        <v>0</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53"/>
      <c r="K39" s="954"/>
      <c r="L39" s="954"/>
      <c r="M39" s="954"/>
      <c r="N39" s="955"/>
      <c r="O39" s="516"/>
      <c r="P39" s="516"/>
      <c r="Q39" s="516"/>
      <c r="R39" s="516"/>
      <c r="S39" s="516"/>
      <c r="T39" s="516"/>
      <c r="U39" s="516"/>
      <c r="V39" s="516"/>
      <c r="W39" s="516"/>
      <c r="X39" s="518"/>
      <c r="Y39" s="519"/>
      <c r="Z39" s="607"/>
      <c r="AA39" s="607"/>
      <c r="AB39" s="607"/>
      <c r="AC39" s="607"/>
      <c r="AD39" s="607"/>
      <c r="AE39" s="607"/>
      <c r="AF39" s="607"/>
      <c r="AG39" s="607"/>
      <c r="AH39" s="518"/>
      <c r="AI39" s="512"/>
      <c r="AJ39" s="518"/>
      <c r="AK39" s="518"/>
      <c r="AL39" s="518"/>
      <c r="AM39" s="519"/>
      <c r="AN39" s="519"/>
      <c r="AO39" s="519"/>
      <c r="AP39" s="519"/>
      <c r="AQ39" s="519"/>
      <c r="AR39" s="519"/>
      <c r="AS39" s="519"/>
      <c r="AT39" s="519"/>
      <c r="AU39" s="516"/>
      <c r="AV39" s="517"/>
      <c r="AW39" s="517"/>
      <c r="AX39" s="516"/>
      <c r="AY39" s="520"/>
      <c r="AZ39" s="720"/>
      <c r="BA39" s="719"/>
      <c r="BB39" s="721"/>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6"/>
      <c r="K40" s="596"/>
      <c r="L40" s="596"/>
      <c r="M40" s="596"/>
      <c r="N40" s="596"/>
      <c r="O40" s="516"/>
      <c r="P40" s="516"/>
      <c r="Q40" s="516"/>
      <c r="R40" s="516"/>
      <c r="S40" s="516"/>
      <c r="T40" s="516"/>
      <c r="U40" s="208"/>
      <c r="V40" s="208"/>
      <c r="W40" s="208"/>
      <c r="X40" s="208"/>
      <c r="Y40" s="208"/>
      <c r="Z40" s="208"/>
      <c r="AA40" s="208"/>
      <c r="AB40" s="208"/>
      <c r="AC40" s="607"/>
      <c r="AD40" s="607"/>
      <c r="AE40" s="607"/>
      <c r="AF40" s="607"/>
      <c r="AG40" s="607"/>
      <c r="AH40" s="518"/>
      <c r="AI40" s="512"/>
      <c r="AJ40" s="518"/>
      <c r="AK40" s="518"/>
      <c r="AL40" s="518"/>
      <c r="AM40" s="519"/>
      <c r="AN40" s="519"/>
      <c r="AO40" s="519"/>
      <c r="AP40" s="519"/>
      <c r="AQ40" s="519"/>
      <c r="AR40" s="519"/>
      <c r="AS40" s="519"/>
      <c r="AT40" s="519"/>
      <c r="AU40" s="516"/>
      <c r="AV40" s="517"/>
      <c r="AW40" s="517"/>
      <c r="AX40" s="516"/>
      <c r="AY40" s="520"/>
      <c r="AZ40" s="687">
        <v>23</v>
      </c>
      <c r="BA40" s="722" t="s">
        <v>653</v>
      </c>
      <c r="BB40" s="710" t="s">
        <v>648</v>
      </c>
      <c r="BC40" s="667">
        <f>SUM(F18:F20)</f>
        <v>0</v>
      </c>
      <c r="BD40" s="667"/>
      <c r="BE40" s="667">
        <f>SUM(H18:H20)</f>
        <v>0</v>
      </c>
      <c r="BF40" s="667"/>
      <c r="BG40" s="667">
        <f>SUM(J18:J20)</f>
        <v>0</v>
      </c>
      <c r="BH40" s="667"/>
      <c r="BI40" s="667">
        <f>SUM(L18:L20)</f>
        <v>0</v>
      </c>
      <c r="BJ40" s="667"/>
      <c r="BK40" s="667">
        <f>SUM(N18:N20)</f>
        <v>0</v>
      </c>
      <c r="BL40" s="667"/>
      <c r="BM40" s="667">
        <f>SUM(P18:P20)</f>
        <v>0</v>
      </c>
      <c r="BN40" s="667"/>
      <c r="BO40" s="667">
        <f>SUM(R18:R20)</f>
        <v>0</v>
      </c>
      <c r="BP40" s="667"/>
      <c r="BQ40" s="667">
        <f>SUM(T18:T20)</f>
        <v>0</v>
      </c>
      <c r="BR40" s="667"/>
      <c r="BS40" s="667">
        <f>SUM(V18:V20)</f>
        <v>0</v>
      </c>
      <c r="BT40" s="667"/>
      <c r="BU40" s="667">
        <f>SUM(X18:X20)</f>
        <v>0</v>
      </c>
      <c r="BV40" s="667"/>
      <c r="BW40" s="667">
        <f>SUM(Z18:Z20)</f>
        <v>0</v>
      </c>
      <c r="BX40" s="667"/>
      <c r="BY40" s="667">
        <f>SUM(AB18:AB20)</f>
        <v>0</v>
      </c>
      <c r="BZ40" s="667"/>
      <c r="CA40" s="667">
        <f>SUM(AD18:AD20)</f>
        <v>0</v>
      </c>
      <c r="CB40" s="667"/>
      <c r="CC40" s="667">
        <f>SUM(AF18:AF20)</f>
        <v>0</v>
      </c>
      <c r="CD40" s="667"/>
      <c r="CE40" s="667">
        <f>SUM(AH18:AH20)</f>
        <v>0</v>
      </c>
      <c r="CF40" s="667"/>
      <c r="CG40" s="667">
        <f>SUM(AJ18:AJ20)</f>
        <v>0</v>
      </c>
      <c r="CH40" s="667"/>
      <c r="CI40" s="667">
        <f>SUM(AL18:AL20)</f>
        <v>0</v>
      </c>
      <c r="CJ40" s="667"/>
      <c r="CK40" s="667">
        <f>SUM(AN18:AN20)</f>
        <v>0</v>
      </c>
      <c r="CL40" s="667"/>
      <c r="CM40" s="667">
        <f>SUM(AP18:AP20)</f>
        <v>0</v>
      </c>
      <c r="CN40" s="667"/>
      <c r="CO40" s="667">
        <f>SUM(AR18:AR20)</f>
        <v>0</v>
      </c>
      <c r="CP40" s="667"/>
      <c r="CQ40" s="667">
        <f>SUM(AT18:AT20)</f>
        <v>0</v>
      </c>
      <c r="CR40" s="667"/>
      <c r="CS40" s="667">
        <f>SUM(AV18:AV20)</f>
        <v>0</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6"/>
      <c r="K41" s="596"/>
      <c r="L41" s="596"/>
      <c r="M41" s="596"/>
      <c r="N41" s="596"/>
      <c r="O41" s="516"/>
      <c r="P41" s="516"/>
      <c r="Q41" s="516"/>
      <c r="R41" s="516"/>
      <c r="S41" s="516"/>
      <c r="T41" s="516"/>
      <c r="U41" s="516"/>
      <c r="V41" s="516"/>
      <c r="W41" s="516"/>
      <c r="X41" s="518"/>
      <c r="Y41" s="519"/>
      <c r="Z41" s="607"/>
      <c r="AA41" s="607"/>
      <c r="AB41" s="607"/>
      <c r="AC41" s="607"/>
      <c r="AD41" s="607"/>
      <c r="AE41" s="607"/>
      <c r="AF41" s="607"/>
      <c r="AG41" s="607"/>
      <c r="AH41" s="518"/>
      <c r="AI41" s="512"/>
      <c r="AJ41" s="518"/>
      <c r="AK41" s="518"/>
      <c r="AL41" s="518"/>
      <c r="AM41" s="519"/>
      <c r="AN41" s="519"/>
      <c r="AO41" s="519"/>
      <c r="AP41" s="519"/>
      <c r="AQ41" s="519"/>
      <c r="AR41" s="519"/>
      <c r="AS41" s="519"/>
      <c r="AT41" s="519"/>
      <c r="AU41" s="516"/>
      <c r="AV41" s="517"/>
      <c r="AW41" s="517"/>
      <c r="AX41" s="516"/>
      <c r="AY41" s="520"/>
      <c r="AZ41" s="723"/>
      <c r="BA41" s="718"/>
      <c r="BB41" s="719"/>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6"/>
      <c r="K42" s="596"/>
      <c r="L42" s="596"/>
      <c r="M42" s="596"/>
      <c r="N42" s="596"/>
      <c r="O42" s="516"/>
      <c r="P42" s="516"/>
      <c r="Q42" s="516"/>
      <c r="R42" s="516"/>
      <c r="S42" s="516"/>
      <c r="T42" s="516"/>
      <c r="U42" s="956" t="str">
        <f>D25&amp;" (W4,18)"</f>
        <v>المياه العادمة المعالجة في مرافق معالجة مستقلة (W4,18)</v>
      </c>
      <c r="V42" s="957"/>
      <c r="W42" s="957"/>
      <c r="X42" s="957"/>
      <c r="Y42" s="957"/>
      <c r="Z42" s="957"/>
      <c r="AA42" s="957"/>
      <c r="AB42" s="958"/>
      <c r="AC42" s="607"/>
      <c r="AD42" s="607"/>
      <c r="AE42" s="607"/>
      <c r="AF42" s="607"/>
      <c r="AG42" s="607"/>
      <c r="AH42" s="518"/>
      <c r="AI42" s="512"/>
      <c r="AJ42" s="518"/>
      <c r="AK42" s="518"/>
      <c r="AL42" s="518"/>
      <c r="AM42" s="519"/>
      <c r="AN42" s="519"/>
      <c r="AO42" s="519"/>
      <c r="AP42" s="519"/>
      <c r="AQ42" s="519"/>
      <c r="AR42" s="519"/>
      <c r="AS42" s="519"/>
      <c r="AT42" s="519"/>
      <c r="AU42" s="516"/>
      <c r="AV42" s="517"/>
      <c r="AW42" s="517"/>
      <c r="AX42" s="516"/>
      <c r="AY42" s="520"/>
      <c r="AZ42" s="684" t="s">
        <v>295</v>
      </c>
      <c r="BA42" s="683" t="s">
        <v>654</v>
      </c>
      <c r="BB42" s="667"/>
      <c r="BC42" s="667" t="str">
        <f>IF(OR(ISBLANK(F17),ISBLANK(F18),ISBLANK(F19),ISBLANK(F20)),"N/A",IF((BC38=BC40),"ok","&lt;&gt;"))</f>
        <v>N/A</v>
      </c>
      <c r="BD42" s="667"/>
      <c r="BE42" s="667" t="str">
        <f>IF(OR(ISBLANK(H17),ISBLANK(H18),ISBLANK(H19),ISBLANK(H20)),"N/A",IF((BE38=BE40),"ok","&lt;&gt;"))</f>
        <v>N/A</v>
      </c>
      <c r="BF42" s="667"/>
      <c r="BG42" s="667" t="str">
        <f>IF(OR(ISBLANK(J17),ISBLANK(J18),ISBLANK(J19),ISBLANK(J20)),"N/A",IF((BG38=BG40),"ok","&lt;&gt;"))</f>
        <v>N/A</v>
      </c>
      <c r="BH42" s="667"/>
      <c r="BI42" s="667" t="str">
        <f>IF(OR(ISBLANK(L17),ISBLANK(L18),ISBLANK(L19),ISBLANK(L20)),"N/A",IF((BI38=BI40),"ok","&lt;&gt;"))</f>
        <v>N/A</v>
      </c>
      <c r="BJ42" s="667"/>
      <c r="BK42" s="667" t="str">
        <f>IF(OR(ISBLANK(N17),ISBLANK(N18),ISBLANK(N19),ISBLANK(N20)),"N/A",IF((BK38=BK40),"ok","&lt;&gt;"))</f>
        <v>N/A</v>
      </c>
      <c r="BL42" s="667"/>
      <c r="BM42" s="667" t="str">
        <f>IF(OR(ISBLANK(P17),ISBLANK(P18),ISBLANK(P19),ISBLANK(P20)),"N/A",IF((BM38=BM40),"ok","&lt;&gt;"))</f>
        <v>N/A</v>
      </c>
      <c r="BN42" s="667"/>
      <c r="BO42" s="667" t="str">
        <f>IF(OR(ISBLANK(R17),ISBLANK(R18),ISBLANK(R19),ISBLANK(R20)),"N/A",IF((BO38=BO40),"ok","&lt;&gt;"))</f>
        <v>N/A</v>
      </c>
      <c r="BP42" s="667"/>
      <c r="BQ42" s="667" t="str">
        <f>IF(OR(ISBLANK(T17),ISBLANK(T18),ISBLANK(T19),ISBLANK(T20)),"N/A",IF((BQ38=BQ40),"ok","&lt;&gt;"))</f>
        <v>N/A</v>
      </c>
      <c r="BR42" s="667"/>
      <c r="BS42" s="667" t="str">
        <f>IF(OR(ISBLANK(V17),ISBLANK(V18),ISBLANK(V19),ISBLANK(V20)),"N/A",IF((BS38=BS40),"ok","&lt;&gt;"))</f>
        <v>N/A</v>
      </c>
      <c r="BT42" s="667"/>
      <c r="BU42" s="667" t="str">
        <f>IF(OR(ISBLANK(X17),ISBLANK(X18),ISBLANK(X19),ISBLANK(X20)),"N/A",IF((BU38=BU40),"ok","&lt;&gt;"))</f>
        <v>N/A</v>
      </c>
      <c r="BV42" s="667"/>
      <c r="BW42" s="667" t="str">
        <f>IF(OR(ISBLANK(Z17),ISBLANK(Z18),ISBLANK(Z19),ISBLANK(Z20)),"N/A",IF((BW38=BW40),"ok","&lt;&gt;"))</f>
        <v>N/A</v>
      </c>
      <c r="BX42" s="667"/>
      <c r="BY42" s="667" t="str">
        <f>IF(OR(ISBLANK(AB17),ISBLANK(AB18),ISBLANK(AB19),ISBLANK(AB20)),"N/A",IF((BY38=BY40),"ok","&lt;&gt;"))</f>
        <v>N/A</v>
      </c>
      <c r="BZ42" s="667"/>
      <c r="CA42" s="667" t="str">
        <f>IF(OR(ISBLANK(AD17),ISBLANK(AD18),ISBLANK(AD19),ISBLANK(AD20)),"N/A",IF((CA38=CA40),"ok","&lt;&gt;"))</f>
        <v>N/A</v>
      </c>
      <c r="CB42" s="667"/>
      <c r="CC42" s="667" t="str">
        <f>IF(OR(ISBLANK(AF17),ISBLANK(AF18),ISBLANK(AF19),ISBLANK(AF20)),"N/A",IF((CC38=CC40),"ok","&lt;&gt;"))</f>
        <v>N/A</v>
      </c>
      <c r="CD42" s="667"/>
      <c r="CE42" s="667" t="str">
        <f>IF(OR(ISBLANK(AH17),ISBLANK(AH18),ISBLANK(AH19),ISBLANK(AH20)),"N/A",IF((CE38=CE40),"ok","&lt;&gt;"))</f>
        <v>N/A</v>
      </c>
      <c r="CF42" s="667"/>
      <c r="CG42" s="667" t="str">
        <f>IF(OR(ISBLANK(AJ17),ISBLANK(AJ18),ISBLANK(AJ19),ISBLANK(AJ20)),"N/A",IF((CG38=CG40),"ok","&lt;&gt;"))</f>
        <v>N/A</v>
      </c>
      <c r="CH42" s="667"/>
      <c r="CI42" s="667" t="str">
        <f>IF(OR(ISBLANK(AL17),ISBLANK(AL18),ISBLANK(AL19),ISBLANK(AL20)),"N/A",IF((CI38=CI40),"ok","&lt;&gt;"))</f>
        <v>N/A</v>
      </c>
      <c r="CJ42" s="667"/>
      <c r="CK42" s="667" t="str">
        <f>IF(OR(ISBLANK(AN17),ISBLANK(AN18),ISBLANK(AN19),ISBLANK(AN20)),"N/A",IF((CK38=CK40),"ok","&lt;&gt;"))</f>
        <v>N/A</v>
      </c>
      <c r="CL42" s="667"/>
      <c r="CM42" s="667" t="str">
        <f>IF(OR(ISBLANK(AP17),ISBLANK(AP18),ISBLANK(AP19),ISBLANK(AP20)),"N/A",IF((CM38=CM40),"ok","&lt;&gt;"))</f>
        <v>N/A</v>
      </c>
      <c r="CN42" s="667"/>
      <c r="CO42" s="667" t="str">
        <f>IF(OR(ISBLANK(AR17),ISBLANK(AR18),ISBLANK(AR19),ISBLANK(AR20)),"N/A",IF((CO38=CO40),"ok","&lt;&gt;"))</f>
        <v>N/A</v>
      </c>
      <c r="CP42" s="667"/>
      <c r="CQ42" s="667" t="str">
        <f>IF(OR(ISBLANK(AT17),ISBLANK(AT18),ISBLANK(AT19),ISBLANK(AT20)),"N/A",IF((CQ38=CQ40),"ok","&lt;&gt;"))</f>
        <v>N/A</v>
      </c>
      <c r="CR42" s="667"/>
      <c r="CS42" s="667" t="str">
        <f>IF(OR(ISBLANK(AV17),ISBLANK(AV18),ISBLANK(AV19),ISBLANK(AV20)),"N/A",IF((CS38=CS40),"ok","&lt;&gt;"))</f>
        <v>N/A</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6"/>
      <c r="K43" s="596"/>
      <c r="L43" s="596"/>
      <c r="M43" s="596"/>
      <c r="N43" s="596"/>
      <c r="O43" s="516"/>
      <c r="P43" s="516"/>
      <c r="Q43" s="516"/>
      <c r="R43" s="516"/>
      <c r="S43" s="516"/>
      <c r="T43" s="516"/>
      <c r="U43" s="516"/>
      <c r="V43" s="516"/>
      <c r="W43" s="516"/>
      <c r="X43" s="516"/>
      <c r="Y43" s="516"/>
      <c r="Z43" s="516"/>
      <c r="AA43" s="516"/>
      <c r="AB43" s="516"/>
      <c r="AC43" s="607"/>
      <c r="AD43" s="607"/>
      <c r="AE43" s="607"/>
      <c r="AF43" s="607"/>
      <c r="AG43" s="607"/>
      <c r="AH43" s="518"/>
      <c r="AI43" s="512"/>
      <c r="AJ43" s="518"/>
      <c r="AK43" s="518"/>
      <c r="AL43" s="518"/>
      <c r="AM43" s="519"/>
      <c r="AN43" s="519"/>
      <c r="AO43" s="519"/>
      <c r="AP43" s="519"/>
      <c r="AQ43" s="519"/>
      <c r="AR43" s="519"/>
      <c r="AS43" s="519"/>
      <c r="AT43" s="519"/>
      <c r="AU43" s="516"/>
      <c r="AV43" s="517"/>
      <c r="AW43" s="517"/>
      <c r="AX43" s="516"/>
      <c r="AY43" s="520"/>
      <c r="AZ43" s="724"/>
      <c r="BA43" s="719"/>
      <c r="BB43" s="719"/>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7">
        <v>11</v>
      </c>
      <c r="BA44" s="668" t="s">
        <v>255</v>
      </c>
      <c r="BB44" s="710" t="s">
        <v>648</v>
      </c>
      <c r="BC44" s="667">
        <f>F21</f>
        <v>0</v>
      </c>
      <c r="BD44" s="667"/>
      <c r="BE44" s="667">
        <f>H21</f>
        <v>0</v>
      </c>
      <c r="BF44" s="667"/>
      <c r="BG44" s="667">
        <f>J21</f>
        <v>0</v>
      </c>
      <c r="BH44" s="667"/>
      <c r="BI44" s="667">
        <f>L21</f>
        <v>0</v>
      </c>
      <c r="BJ44" s="667"/>
      <c r="BK44" s="667">
        <f>N21</f>
        <v>0</v>
      </c>
      <c r="BL44" s="667"/>
      <c r="BM44" s="667">
        <f>P21</f>
        <v>0</v>
      </c>
      <c r="BN44" s="667"/>
      <c r="BO44" s="667">
        <f>R21</f>
        <v>0</v>
      </c>
      <c r="BP44" s="667"/>
      <c r="BQ44" s="667">
        <f>T21</f>
        <v>0</v>
      </c>
      <c r="BR44" s="667"/>
      <c r="BS44" s="667">
        <f>V21</f>
        <v>0</v>
      </c>
      <c r="BT44" s="667"/>
      <c r="BU44" s="667">
        <f>X21</f>
        <v>0</v>
      </c>
      <c r="BV44" s="667"/>
      <c r="BW44" s="667">
        <f>Z21</f>
        <v>0</v>
      </c>
      <c r="BX44" s="667"/>
      <c r="BY44" s="667">
        <f>AB21</f>
        <v>0</v>
      </c>
      <c r="BZ44" s="667"/>
      <c r="CA44" s="667">
        <f>AD21</f>
        <v>0</v>
      </c>
      <c r="CB44" s="667"/>
      <c r="CC44" s="667">
        <f>AF21</f>
        <v>0</v>
      </c>
      <c r="CD44" s="667"/>
      <c r="CE44" s="667">
        <f>AH21</f>
        <v>0</v>
      </c>
      <c r="CF44" s="667"/>
      <c r="CG44" s="667">
        <f>AJ21</f>
        <v>0</v>
      </c>
      <c r="CH44" s="667"/>
      <c r="CI44" s="667">
        <f>AL21</f>
        <v>0</v>
      </c>
      <c r="CJ44" s="667"/>
      <c r="CK44" s="667">
        <f>AN21</f>
        <v>0</v>
      </c>
      <c r="CL44" s="667"/>
      <c r="CM44" s="667">
        <f>AP21</f>
        <v>0</v>
      </c>
      <c r="CN44" s="667"/>
      <c r="CO44" s="667">
        <f>AR21</f>
        <v>0</v>
      </c>
      <c r="CP44" s="667"/>
      <c r="CQ44" s="667">
        <f>AT21</f>
        <v>0</v>
      </c>
      <c r="CR44" s="667"/>
      <c r="CS44" s="667">
        <f>AV21</f>
        <v>0</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5"/>
      <c r="BA45" s="726"/>
      <c r="BB45" s="72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6" t="str">
        <f>D26&amp;" (W4,19)"</f>
        <v>مياه عادمة غير معالجة (W4,19)</v>
      </c>
      <c r="V46" s="957"/>
      <c r="W46" s="957"/>
      <c r="X46" s="957"/>
      <c r="Y46" s="957"/>
      <c r="Z46" s="957"/>
      <c r="AA46" s="957"/>
      <c r="AB46" s="958"/>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7">
        <v>24</v>
      </c>
      <c r="BA46" s="683" t="s">
        <v>655</v>
      </c>
      <c r="BB46" s="667" t="s">
        <v>648</v>
      </c>
      <c r="BC46" s="667">
        <f>SUM(F22:F24)</f>
        <v>0</v>
      </c>
      <c r="BD46" s="667"/>
      <c r="BE46" s="667">
        <f>SUM(H22:H24)</f>
        <v>0</v>
      </c>
      <c r="BF46" s="667"/>
      <c r="BG46" s="667">
        <f>SUM(J22:J24)</f>
        <v>0</v>
      </c>
      <c r="BH46" s="667"/>
      <c r="BI46" s="667">
        <f>SUM(L22:L24)</f>
        <v>0</v>
      </c>
      <c r="BJ46" s="667"/>
      <c r="BK46" s="667">
        <f>SUM(N22:N24)</f>
        <v>0</v>
      </c>
      <c r="BL46" s="667"/>
      <c r="BM46" s="667">
        <f>SUM(P22:P24)</f>
        <v>0</v>
      </c>
      <c r="BN46" s="667"/>
      <c r="BO46" s="667">
        <f>SUM(R22:R24)</f>
        <v>0</v>
      </c>
      <c r="BP46" s="667"/>
      <c r="BQ46" s="667">
        <f>SUM(T22:T24)</f>
        <v>0</v>
      </c>
      <c r="BR46" s="667"/>
      <c r="BS46" s="667">
        <f>SUM(V22:V24)</f>
        <v>0</v>
      </c>
      <c r="BT46" s="667"/>
      <c r="BU46" s="667">
        <f>SUM(X22:X24)</f>
        <v>0</v>
      </c>
      <c r="BV46" s="667"/>
      <c r="BW46" s="667">
        <f>SUM(Z22:Z24)</f>
        <v>0</v>
      </c>
      <c r="BX46" s="667"/>
      <c r="BY46" s="667">
        <f>SUM(AB22:AB24)</f>
        <v>0</v>
      </c>
      <c r="BZ46" s="667"/>
      <c r="CA46" s="667">
        <f>SUM(AD22:AD24)</f>
        <v>0</v>
      </c>
      <c r="CB46" s="667"/>
      <c r="CC46" s="667">
        <f>SUM(AF22:AF24)</f>
        <v>0</v>
      </c>
      <c r="CD46" s="667"/>
      <c r="CE46" s="667">
        <f>SUM(AH22:AH24)</f>
        <v>0</v>
      </c>
      <c r="CF46" s="667"/>
      <c r="CG46" s="667">
        <f>SUM(AJ22:AJ24)</f>
        <v>0</v>
      </c>
      <c r="CH46" s="667"/>
      <c r="CI46" s="667">
        <f>SUM(AL22:AL24)</f>
        <v>0</v>
      </c>
      <c r="CJ46" s="667"/>
      <c r="CK46" s="667">
        <f>SUM(AN22:AN24)</f>
        <v>0</v>
      </c>
      <c r="CL46" s="667"/>
      <c r="CM46" s="667">
        <f>SUM(AP22:AP24)</f>
        <v>0</v>
      </c>
      <c r="CN46" s="667"/>
      <c r="CO46" s="667">
        <f>SUM(AR22:AR24)</f>
        <v>0</v>
      </c>
      <c r="CP46" s="667"/>
      <c r="CQ46" s="667">
        <f>SUM(AT22:AT24)</f>
        <v>0</v>
      </c>
      <c r="CR46" s="667"/>
      <c r="CS46" s="667">
        <f>SUM(AV22:AV24)</f>
        <v>0</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8" t="s">
        <v>295</v>
      </c>
      <c r="BA47" s="689" t="s">
        <v>520</v>
      </c>
      <c r="BB47" s="677"/>
      <c r="BC47" s="728" t="str">
        <f>IF(OR(ISBLANK(F21),ISBLANK(F22),ISBLANK(F23),ISBLANK(F24)),"N/A",IF((BC44=BC46),"ok","&lt;&gt;"))</f>
        <v>N/A</v>
      </c>
      <c r="BD47" s="728"/>
      <c r="BE47" s="728" t="str">
        <f>IF(OR(ISBLANK(H21),ISBLANK(H22),ISBLANK(H23),ISBLANK(H24)),"N/A",IF((BE44=BE46),"ok","&lt;&gt;"))</f>
        <v>N/A</v>
      </c>
      <c r="BF47" s="728"/>
      <c r="BG47" s="728" t="str">
        <f>IF(OR(ISBLANK(J21),ISBLANK(J22),ISBLANK(J23),ISBLANK(J24)),"N/A",IF((BG44=BG46),"ok","&lt;&gt;"))</f>
        <v>N/A</v>
      </c>
      <c r="BH47" s="728"/>
      <c r="BI47" s="728" t="str">
        <f>IF(OR(ISBLANK(L21),ISBLANK(L22),ISBLANK(L23),ISBLANK(L24)),"N/A",IF((BI44=BI46),"ok","&lt;&gt;"))</f>
        <v>N/A</v>
      </c>
      <c r="BJ47" s="728"/>
      <c r="BK47" s="728" t="str">
        <f>IF(OR(ISBLANK(N21),ISBLANK(N22),ISBLANK(N23),ISBLANK(N24)),"N/A",IF((BK44=BK46),"ok","&lt;&gt;"))</f>
        <v>N/A</v>
      </c>
      <c r="BL47" s="728"/>
      <c r="BM47" s="728" t="str">
        <f>IF(OR(ISBLANK(P21),ISBLANK(P22),ISBLANK(P23),ISBLANK(P24)),"N/A",IF((BM44=BM46),"ok","&lt;&gt;"))</f>
        <v>N/A</v>
      </c>
      <c r="BN47" s="728"/>
      <c r="BO47" s="728" t="str">
        <f>IF(OR(ISBLANK(R21),ISBLANK(R22),ISBLANK(R23),ISBLANK(R24)),"N/A",IF((BO44=BO46),"ok","&lt;&gt;"))</f>
        <v>N/A</v>
      </c>
      <c r="BP47" s="728"/>
      <c r="BQ47" s="728" t="str">
        <f>IF(OR(ISBLANK(T21),ISBLANK(T22),ISBLANK(T23),ISBLANK(T24)),"N/A",IF((BQ44=BQ46),"ok","&lt;&gt;"))</f>
        <v>N/A</v>
      </c>
      <c r="BR47" s="728"/>
      <c r="BS47" s="728" t="str">
        <f>IF(OR(ISBLANK(V21),ISBLANK(V22),ISBLANK(V23),ISBLANK(V24)),"N/A",IF((BS44=BS46),"ok","&lt;&gt;"))</f>
        <v>N/A</v>
      </c>
      <c r="BT47" s="728"/>
      <c r="BU47" s="728" t="str">
        <f>IF(OR(ISBLANK(X21),ISBLANK(X22),ISBLANK(X23),ISBLANK(X24)),"N/A",IF((BU44=BU46),"ok","&lt;&gt;"))</f>
        <v>N/A</v>
      </c>
      <c r="BV47" s="728"/>
      <c r="BW47" s="728" t="str">
        <f>IF(OR(ISBLANK(Z21),ISBLANK(Z22),ISBLANK(Z23),ISBLANK(Z24)),"N/A",IF((BW44=BW46),"ok","&lt;&gt;"))</f>
        <v>N/A</v>
      </c>
      <c r="BX47" s="728"/>
      <c r="BY47" s="728" t="str">
        <f>IF(OR(ISBLANK(AB21),ISBLANK(AB22),ISBLANK(AB23),ISBLANK(AB24)),"N/A",IF((BY44=BY46),"ok","&lt;&gt;"))</f>
        <v>N/A</v>
      </c>
      <c r="BZ47" s="728"/>
      <c r="CA47" s="728" t="str">
        <f>IF(OR(ISBLANK(AD21),ISBLANK(AD22),ISBLANK(AD23),ISBLANK(AD24)),"N/A",IF((CA44=CA46),"ok","&lt;&gt;"))</f>
        <v>N/A</v>
      </c>
      <c r="CB47" s="728"/>
      <c r="CC47" s="728" t="str">
        <f>IF(OR(ISBLANK(AF21),ISBLANK(AF22),ISBLANK(AF23),ISBLANK(AF24)),"N/A",IF((CC44=CC46),"ok","&lt;&gt;"))</f>
        <v>N/A</v>
      </c>
      <c r="CD47" s="728"/>
      <c r="CE47" s="728" t="str">
        <f>IF(OR(ISBLANK(AH21),ISBLANK(AH22),ISBLANK(AH23),ISBLANK(AH24)),"N/A",IF((CE44=CE46),"ok","&lt;&gt;"))</f>
        <v>N/A</v>
      </c>
      <c r="CF47" s="728"/>
      <c r="CG47" s="728" t="str">
        <f>IF(OR(ISBLANK(AJ21),ISBLANK(AJ22),ISBLANK(AJ23),ISBLANK(AJ24)),"N/A",IF((CG44=CG46),"ok","&lt;&gt;"))</f>
        <v>N/A</v>
      </c>
      <c r="CH47" s="728"/>
      <c r="CI47" s="728" t="str">
        <f>IF(OR(ISBLANK(AL21),ISBLANK(AL22),ISBLANK(AL23),ISBLANK(AL24)),"N/A",IF((CI44=CI46),"ok","&lt;&gt;"))</f>
        <v>N/A</v>
      </c>
      <c r="CJ47" s="728"/>
      <c r="CK47" s="728" t="str">
        <f>IF(OR(ISBLANK(AN21),ISBLANK(AN22),ISBLANK(AN23),ISBLANK(AN24)),"N/A",IF((CK44=CK46),"ok","&lt;&gt;"))</f>
        <v>N/A</v>
      </c>
      <c r="CL47" s="728"/>
      <c r="CM47" s="728" t="str">
        <f>IF(OR(ISBLANK(AP21),ISBLANK(AP22),ISBLANK(AP23),ISBLANK(AP24)),"N/A",IF((CM44=CM46),"ok","&lt;&gt;"))</f>
        <v>N/A</v>
      </c>
      <c r="CN47" s="728"/>
      <c r="CO47" s="728" t="str">
        <f>IF(OR(ISBLANK(AR21),ISBLANK(AR22),ISBLANK(AR23),ISBLANK(AR24)),"N/A",IF((CO44=CO46),"ok","&lt;&gt;"))</f>
        <v>N/A</v>
      </c>
      <c r="CP47" s="728"/>
      <c r="CQ47" s="728" t="str">
        <f>IF(OR(ISBLANK(AT21),ISBLANK(AT22),ISBLANK(AT23),ISBLANK(AT24)),"N/A",IF((CQ44=CQ46),"ok","&lt;&gt;"))</f>
        <v>N/A</v>
      </c>
      <c r="CR47" s="728"/>
      <c r="CS47" s="728" t="str">
        <f>IF(OR(ISBLANK(AV21),ISBLANK(AV22),ISBLANK(AV23),ISBLANK(AV24)),"N/A",IF((CS44=CS46),"ok","&lt;&gt;"))</f>
        <v>N/A</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90" t="s">
        <v>229</v>
      </c>
      <c r="BA48" s="691" t="s">
        <v>230</v>
      </c>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C48" s="730"/>
      <c r="CD48" s="729"/>
      <c r="CE48" s="729"/>
      <c r="CF48" s="729"/>
      <c r="CG48" s="729"/>
      <c r="CH48" s="729"/>
      <c r="CI48" s="729"/>
      <c r="CJ48" s="729"/>
      <c r="CK48" s="729"/>
      <c r="CL48" s="729"/>
      <c r="CM48" s="729"/>
      <c r="CN48" s="729"/>
      <c r="CO48" s="729"/>
      <c r="CP48" s="729"/>
      <c r="CQ48" s="729"/>
      <c r="CR48" s="729"/>
      <c r="CS48" s="729"/>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90" t="s">
        <v>231</v>
      </c>
      <c r="BA49" s="691" t="s">
        <v>232</v>
      </c>
      <c r="BB49" s="729"/>
      <c r="BC49" s="729"/>
      <c r="BD49" s="729"/>
      <c r="BE49" s="729"/>
      <c r="BF49" s="729"/>
      <c r="BG49" s="729"/>
      <c r="BH49" s="729"/>
      <c r="BI49" s="729"/>
      <c r="BJ49" s="729"/>
      <c r="BK49" s="729"/>
      <c r="BL49" s="729"/>
      <c r="BM49" s="729"/>
      <c r="BN49" s="729"/>
      <c r="BO49" s="729"/>
      <c r="BP49" s="729"/>
      <c r="BQ49" s="729"/>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297"/>
      <c r="CU49" s="283"/>
      <c r="CV49" s="206"/>
    </row>
    <row r="50" spans="1:100" s="217" customFormat="1" ht="12.75" customHeight="1">
      <c r="A50" s="195"/>
      <c r="B50" s="196"/>
      <c r="C50" s="426" t="s">
        <v>337</v>
      </c>
      <c r="D50" s="880" t="s">
        <v>336</v>
      </c>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c r="AY50" s="206"/>
      <c r="AZ50" s="692" t="s">
        <v>234</v>
      </c>
      <c r="BA50" s="691" t="s">
        <v>236</v>
      </c>
      <c r="BB50" s="729"/>
      <c r="BC50" s="729"/>
      <c r="BD50" s="729"/>
      <c r="BE50" s="729"/>
      <c r="BF50" s="729"/>
      <c r="BG50" s="729"/>
      <c r="BH50" s="729"/>
      <c r="BI50" s="729"/>
      <c r="BJ50" s="729"/>
      <c r="BK50" s="729"/>
      <c r="BL50" s="729"/>
      <c r="BM50" s="729"/>
      <c r="BN50" s="729"/>
      <c r="BO50" s="729"/>
      <c r="BP50" s="729"/>
      <c r="BQ50" s="729"/>
      <c r="BR50" s="729"/>
      <c r="BS50" s="729"/>
      <c r="BT50" s="729"/>
      <c r="BU50" s="729"/>
      <c r="BV50" s="729"/>
      <c r="BW50" s="729"/>
      <c r="BX50" s="729"/>
      <c r="BY50" s="729"/>
      <c r="BZ50" s="729"/>
      <c r="CA50" s="729"/>
      <c r="CB50" s="729"/>
      <c r="CC50" s="729"/>
      <c r="CD50" s="729"/>
      <c r="CE50" s="729"/>
      <c r="CF50" s="729"/>
      <c r="CG50" s="729"/>
      <c r="CH50" s="729"/>
      <c r="CI50" s="729"/>
      <c r="CJ50" s="729"/>
      <c r="CK50" s="729"/>
      <c r="CL50" s="729"/>
      <c r="CM50" s="729"/>
      <c r="CN50" s="729"/>
      <c r="CO50" s="729"/>
      <c r="CP50" s="729"/>
      <c r="CQ50" s="729"/>
      <c r="CR50" s="729"/>
      <c r="CS50" s="729"/>
      <c r="CT50" s="297"/>
      <c r="CU50" s="60" t="e">
        <f>SUM(#REF!)</f>
        <v>#REF!</v>
      </c>
      <c r="CV50" s="206"/>
    </row>
    <row r="51" spans="1:100" s="446" customFormat="1" ht="18" customHeight="1">
      <c r="A51" s="195">
        <v>0</v>
      </c>
      <c r="B51" s="196">
        <v>-1</v>
      </c>
      <c r="C51" s="559" t="s">
        <v>716</v>
      </c>
      <c r="D51" s="927" t="s">
        <v>724</v>
      </c>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7"/>
      <c r="AY51" s="206"/>
      <c r="AZ51" s="692" t="s">
        <v>233</v>
      </c>
      <c r="BA51" s="691" t="s">
        <v>206</v>
      </c>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29"/>
      <c r="CK51" s="729"/>
      <c r="CL51" s="729"/>
      <c r="CM51" s="729"/>
      <c r="CN51" s="729"/>
      <c r="CO51" s="729"/>
      <c r="CP51" s="729"/>
      <c r="CQ51" s="729"/>
      <c r="CR51" s="729"/>
      <c r="CS51" s="729"/>
      <c r="CT51" s="297"/>
      <c r="CU51" s="74"/>
      <c r="CV51" s="489"/>
    </row>
    <row r="52" spans="3:9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3:50"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3:50"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row>
    <row r="59" spans="3:50"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row>
    <row r="60" spans="3:50"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row>
    <row r="61" spans="3:50"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row>
    <row r="62" spans="3:50"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row>
    <row r="63" spans="3:50"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3:50"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3:50"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row>
    <row r="66" spans="3:50"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row>
    <row r="67" spans="3:50"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row>
    <row r="68" spans="3:50"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row>
    <row r="69" spans="3:50" ht="18" customHeight="1">
      <c r="C69" s="559"/>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row>
    <row r="70" spans="3:50" ht="18" customHeight="1">
      <c r="C70" s="559"/>
      <c r="D70" s="863"/>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row>
    <row r="71" spans="3:50" ht="18" customHeight="1">
      <c r="C71" s="567"/>
      <c r="D71" s="863"/>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5"/>
    </row>
    <row r="72" spans="3:50" ht="18" customHeight="1">
      <c r="C72" s="568"/>
      <c r="D72" s="877"/>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9"/>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3"/>
      <c r="BB74" s="653"/>
      <c r="BC74" s="653"/>
      <c r="BD74" s="653"/>
      <c r="BE74" s="653"/>
      <c r="BF74" s="653"/>
      <c r="BG74" s="653"/>
      <c r="BH74" s="653"/>
      <c r="BI74" s="653"/>
      <c r="BJ74" s="653"/>
      <c r="BK74" s="653"/>
      <c r="BL74" s="653"/>
      <c r="BM74" s="653"/>
      <c r="BN74" s="653"/>
      <c r="BO74" s="653"/>
      <c r="BP74" s="653"/>
      <c r="BQ74" s="653"/>
      <c r="BR74" s="653"/>
      <c r="BS74" s="653"/>
      <c r="BT74" s="653"/>
      <c r="BU74" s="653"/>
      <c r="BV74" s="653"/>
      <c r="BW74" s="653"/>
      <c r="BX74" s="653"/>
      <c r="BY74" s="653"/>
      <c r="BZ74" s="653"/>
      <c r="CA74" s="653"/>
      <c r="CB74" s="653"/>
      <c r="CC74" s="653"/>
      <c r="CD74" s="653"/>
      <c r="CE74" s="653"/>
      <c r="CF74" s="653"/>
      <c r="CG74" s="653"/>
      <c r="CH74" s="653"/>
      <c r="CI74" s="653"/>
      <c r="CJ74" s="653"/>
      <c r="CK74" s="653"/>
      <c r="CL74" s="653"/>
      <c r="CM74" s="653"/>
      <c r="CN74" s="653"/>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formatCells="0" formatColumns="0" formatRows="0" insertColumns="0" insertRows="0" insertHyperlinks="0"/>
  <mergeCells count="33">
    <mergeCell ref="D51:AX51"/>
    <mergeCell ref="D64:AX64"/>
    <mergeCell ref="D53:AX53"/>
    <mergeCell ref="D54:AX54"/>
    <mergeCell ref="D70:AX70"/>
    <mergeCell ref="D57:AX57"/>
    <mergeCell ref="D62:AX62"/>
    <mergeCell ref="U34:AB34"/>
    <mergeCell ref="J36:N39"/>
    <mergeCell ref="D55:AX55"/>
    <mergeCell ref="D56:AX56"/>
    <mergeCell ref="D71:AX71"/>
    <mergeCell ref="D58:AX58"/>
    <mergeCell ref="D69:AX69"/>
    <mergeCell ref="D61:AX61"/>
    <mergeCell ref="D59:AX59"/>
    <mergeCell ref="D60:AX60"/>
    <mergeCell ref="D72:AX72"/>
    <mergeCell ref="D65:AX65"/>
    <mergeCell ref="D66:AX66"/>
    <mergeCell ref="D67:AX67"/>
    <mergeCell ref="D68:AX68"/>
    <mergeCell ref="D63:AX63"/>
    <mergeCell ref="C5:AN5"/>
    <mergeCell ref="U38:AB38"/>
    <mergeCell ref="D50:AX50"/>
    <mergeCell ref="D52:AX52"/>
    <mergeCell ref="U42:AB42"/>
    <mergeCell ref="U46:AB46"/>
    <mergeCell ref="D30:AX30"/>
    <mergeCell ref="D33:AX33"/>
    <mergeCell ref="D31:AX31"/>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70" zoomScaleNormal="70" zoomScaleSheetLayoutView="85" workbookViewId="0" topLeftCell="C1">
      <selection activeCell="F8" sqref="F8"/>
    </sheetView>
  </sheetViews>
  <sheetFormatPr defaultColWidth="9.16015625" defaultRowHeight="12.75"/>
  <cols>
    <col min="1" max="1" width="5.33203125" style="195" hidden="1" customWidth="1"/>
    <col min="2" max="2" width="7.660156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275</v>
      </c>
      <c r="C3" s="354" t="s">
        <v>320</v>
      </c>
      <c r="D3" s="97" t="s">
        <v>564</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60" t="s">
        <v>381</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row>
    <row r="8" spans="1:98" s="469" customFormat="1" ht="36" customHeight="1">
      <c r="A8" s="399" t="s">
        <v>239</v>
      </c>
      <c r="B8" s="254">
        <v>163</v>
      </c>
      <c r="C8" s="462">
        <v>1</v>
      </c>
      <c r="D8" s="535" t="s">
        <v>371</v>
      </c>
      <c r="E8" s="384" t="s">
        <v>521</v>
      </c>
      <c r="F8" s="588">
        <v>43.9000015258789</v>
      </c>
      <c r="G8" s="586" t="s">
        <v>716</v>
      </c>
      <c r="H8" s="588"/>
      <c r="I8" s="586"/>
      <c r="J8" s="588">
        <v>45.7999992370605</v>
      </c>
      <c r="K8" s="586" t="s">
        <v>716</v>
      </c>
      <c r="L8" s="588">
        <v>43.5999984741211</v>
      </c>
      <c r="M8" s="586" t="s">
        <v>716</v>
      </c>
      <c r="N8" s="588">
        <v>42.9000015258789</v>
      </c>
      <c r="O8" s="586" t="s">
        <v>716</v>
      </c>
      <c r="P8" s="588">
        <v>44.7000007629395</v>
      </c>
      <c r="Q8" s="586" t="s">
        <v>716</v>
      </c>
      <c r="R8" s="588">
        <v>45.2999992370605</v>
      </c>
      <c r="S8" s="586" t="s">
        <v>716</v>
      </c>
      <c r="T8" s="588"/>
      <c r="U8" s="586"/>
      <c r="V8" s="588">
        <v>45.5</v>
      </c>
      <c r="W8" s="586" t="s">
        <v>716</v>
      </c>
      <c r="X8" s="588">
        <v>52.0999984741211</v>
      </c>
      <c r="Y8" s="586" t="s">
        <v>716</v>
      </c>
      <c r="Z8" s="588">
        <v>54.4000015258789</v>
      </c>
      <c r="AA8" s="586" t="s">
        <v>716</v>
      </c>
      <c r="AB8" s="588">
        <v>55</v>
      </c>
      <c r="AC8" s="586" t="s">
        <v>716</v>
      </c>
      <c r="AD8" s="588">
        <v>57.4000015258789</v>
      </c>
      <c r="AE8" s="586" t="s">
        <v>716</v>
      </c>
      <c r="AF8" s="588">
        <v>55.2999992370605</v>
      </c>
      <c r="AG8" s="586" t="s">
        <v>716</v>
      </c>
      <c r="AH8" s="588"/>
      <c r="AI8" s="586"/>
      <c r="AJ8" s="588">
        <v>53.9000015258789</v>
      </c>
      <c r="AK8" s="586" t="s">
        <v>716</v>
      </c>
      <c r="AL8" s="588"/>
      <c r="AM8" s="586"/>
      <c r="AN8" s="588"/>
      <c r="AO8" s="586"/>
      <c r="AP8" s="588"/>
      <c r="AQ8" s="586"/>
      <c r="AR8" s="588">
        <v>58.5</v>
      </c>
      <c r="AS8" s="586" t="s">
        <v>715</v>
      </c>
      <c r="AT8" s="588"/>
      <c r="AU8" s="586"/>
      <c r="AV8" s="588"/>
      <c r="AW8" s="586"/>
      <c r="AZ8" s="699">
        <v>1</v>
      </c>
      <c r="BA8" s="731" t="s">
        <v>204</v>
      </c>
      <c r="BB8" s="662" t="s">
        <v>521</v>
      </c>
      <c r="BC8" s="662" t="s">
        <v>249</v>
      </c>
      <c r="BD8" s="665"/>
      <c r="BE8" s="666" t="str">
        <f>IF(OR(ISBLANK(F8),ISBLANK(H8)),"N/A",IF(ABS(H8-F8)&gt;0.25,"&gt; 25%","ok"))</f>
        <v>N/A</v>
      </c>
      <c r="BF8" s="665"/>
      <c r="BG8" s="666" t="str">
        <f>IF(OR(ISBLANK(H8),ISBLANK(J8)),"N/A",IF(ABS(J8-H8)&gt;0.25,"&gt;25%","ok"))</f>
        <v>N/A</v>
      </c>
      <c r="BH8" s="666"/>
      <c r="BI8" s="666" t="str">
        <f>IF(OR(ISBLANK(J8),ISBLANK(L8)),"N/A",IF(ABS(L8-J8)&gt;25,"&gt; 25%","ok"))</f>
        <v>ok</v>
      </c>
      <c r="BJ8" s="666"/>
      <c r="BK8" s="666" t="str">
        <f>IF(OR(ISBLANK(L8),ISBLANK(N8)),"N/A",IF(ABS(N8-L8)&gt;25,"&gt; 25%","ok"))</f>
        <v>ok</v>
      </c>
      <c r="BL8" s="666"/>
      <c r="BM8" s="666" t="str">
        <f>IF(OR(ISBLANK(N8),ISBLANK(P8)),"N/A",IF(ABS(P8-N8)&gt;25,"&gt; 25%","ok"))</f>
        <v>ok</v>
      </c>
      <c r="BN8" s="666"/>
      <c r="BO8" s="666" t="str">
        <f>IF(OR(ISBLANK(P8),ISBLANK(R8)),"N/A",IF(ABS(R8-P8)&gt;25,"&gt; 25%","ok"))</f>
        <v>ok</v>
      </c>
      <c r="BP8" s="666"/>
      <c r="BQ8" s="666" t="str">
        <f>IF(OR(ISBLANK(R8),ISBLANK(T8)),"N/A",IF(ABS(T8-R8)&gt;25,"&gt; 25%","ok"))</f>
        <v>N/A</v>
      </c>
      <c r="BR8" s="666"/>
      <c r="BS8" s="666" t="str">
        <f>IF(OR(ISBLANK(T8),ISBLANK(V8)),"N/A",IF(ABS(V8-T8)&gt;25,"&gt; 25%","ok"))</f>
        <v>N/A</v>
      </c>
      <c r="BT8" s="666"/>
      <c r="BU8" s="666" t="str">
        <f>IF(OR(ISBLANK(V8),ISBLANK(X8)),"N/A",IF(ABS(X8-V8)&gt;25,"&gt; 25%","ok"))</f>
        <v>ok</v>
      </c>
      <c r="BV8" s="666"/>
      <c r="BW8" s="666" t="str">
        <f>IF(OR(ISBLANK(X8),ISBLANK(Z8)),"N/A",IF(ABS(Z8-X8)&gt;25,"&gt; 25%","ok"))</f>
        <v>ok</v>
      </c>
      <c r="BX8" s="666"/>
      <c r="BY8" s="666" t="str">
        <f>IF(OR(ISBLANK(Z8),ISBLANK(AB8)),"N/A",IF(ABS(AB8-Z8)&gt;25,"&gt; 25%","ok"))</f>
        <v>ok</v>
      </c>
      <c r="BZ8" s="666"/>
      <c r="CA8" s="666" t="str">
        <f>IF(OR(ISBLANK(AB8),ISBLANK(AD8)),"N/A",IF(ABS(AD8-AB8)&gt;25,"&gt; 25%","ok"))</f>
        <v>ok</v>
      </c>
      <c r="CB8" s="666"/>
      <c r="CC8" s="666" t="str">
        <f>IF(OR(ISBLANK(AD8),ISBLANK(AF8)),"N/A",IF(ABS(AF8-AD8)&gt;25,"&gt; 25%","ok"))</f>
        <v>ok</v>
      </c>
      <c r="CD8" s="666"/>
      <c r="CE8" s="666" t="str">
        <f>IF(OR(ISBLANK(AF8),ISBLANK(AH8)),"N/A",IF(ABS(AH8-AF8)&gt;25,"&gt; 25%","ok"))</f>
        <v>N/A</v>
      </c>
      <c r="CF8" s="666"/>
      <c r="CG8" s="666" t="str">
        <f>IF(OR(ISBLANK(AH8),ISBLANK(AJ8)),"N/A",IF(ABS(AJ8-AH8)&gt;25,"&gt; 25%","ok"))</f>
        <v>N/A</v>
      </c>
      <c r="CH8" s="666"/>
      <c r="CI8" s="666" t="str">
        <f>IF(OR(ISBLANK(AJ8),ISBLANK(AL8)),"N/A",IF(ABS(AL8-AJ8)&gt;25,"&gt; 25%","ok"))</f>
        <v>N/A</v>
      </c>
      <c r="CJ8" s="666"/>
      <c r="CK8" s="666" t="str">
        <f>IF(OR(ISBLANK(AL8),ISBLANK(AN8)),"N/A",IF(ABS(AN8-AL8)&gt;25,"&gt; 25%","ok"))</f>
        <v>N/A</v>
      </c>
      <c r="CL8" s="666"/>
      <c r="CM8" s="666" t="str">
        <f>IF(OR(ISBLANK(AN8),ISBLANK(AP8)),"N/A",IF(ABS(AP8-AN8)&gt;25,"&gt; 25%","ok"))</f>
        <v>N/A</v>
      </c>
      <c r="CN8" s="666"/>
      <c r="CO8" s="666" t="str">
        <f>IF(OR(ISBLANK(AP8),ISBLANK(AR8)),"N/A",IF(ABS(AR8-AP8)&gt;25,"&gt; 25%","ok"))</f>
        <v>N/A</v>
      </c>
      <c r="CP8" s="666"/>
      <c r="CQ8" s="666" t="str">
        <f>IF(OR(ISBLANK(AR8),ISBLANK(AT8)),"N/A",IF(ABS(AT8-AR8)&gt;25,"&gt; 25%","ok"))</f>
        <v>N/A</v>
      </c>
      <c r="CR8" s="666"/>
      <c r="CS8" s="666" t="str">
        <f>IF(OR(ISBLANK(AT8),ISBLANK(AV8)),"N/A",IF(ABS(AV8-AT8)&gt;25,"&gt; 25%","ok"))</f>
        <v>N/A</v>
      </c>
      <c r="CT8" s="208"/>
    </row>
    <row r="9" spans="1:97" ht="36" customHeight="1">
      <c r="A9" s="195" t="s">
        <v>239</v>
      </c>
      <c r="B9" s="254">
        <v>164</v>
      </c>
      <c r="C9" s="393">
        <v>2</v>
      </c>
      <c r="D9" s="536" t="s">
        <v>372</v>
      </c>
      <c r="E9" s="384" t="s">
        <v>521</v>
      </c>
      <c r="F9" s="588"/>
      <c r="G9" s="586"/>
      <c r="H9" s="588"/>
      <c r="I9" s="586"/>
      <c r="J9" s="588"/>
      <c r="K9" s="586"/>
      <c r="L9" s="588"/>
      <c r="M9" s="586"/>
      <c r="N9" s="588"/>
      <c r="O9" s="586"/>
      <c r="P9" s="588"/>
      <c r="Q9" s="586"/>
      <c r="R9" s="588"/>
      <c r="S9" s="586"/>
      <c r="T9" s="588"/>
      <c r="U9" s="586"/>
      <c r="V9" s="588"/>
      <c r="W9" s="586"/>
      <c r="X9" s="588"/>
      <c r="Y9" s="586"/>
      <c r="Z9" s="588"/>
      <c r="AA9" s="586"/>
      <c r="AB9" s="588"/>
      <c r="AC9" s="586"/>
      <c r="AD9" s="588"/>
      <c r="AE9" s="586"/>
      <c r="AF9" s="588"/>
      <c r="AG9" s="586"/>
      <c r="AH9" s="588"/>
      <c r="AI9" s="586"/>
      <c r="AJ9" s="588"/>
      <c r="AK9" s="586"/>
      <c r="AL9" s="588"/>
      <c r="AM9" s="586"/>
      <c r="AN9" s="588"/>
      <c r="AO9" s="586"/>
      <c r="AP9" s="588"/>
      <c r="AQ9" s="586"/>
      <c r="AR9" s="588"/>
      <c r="AS9" s="586"/>
      <c r="AT9" s="588"/>
      <c r="AU9" s="586"/>
      <c r="AV9" s="588">
        <v>25</v>
      </c>
      <c r="AW9" s="586" t="s">
        <v>717</v>
      </c>
      <c r="AZ9" s="698">
        <v>2</v>
      </c>
      <c r="BA9" s="732" t="s">
        <v>205</v>
      </c>
      <c r="BB9" s="662" t="s">
        <v>521</v>
      </c>
      <c r="BC9" s="662" t="s">
        <v>249</v>
      </c>
      <c r="BD9" s="665"/>
      <c r="BE9" s="666" t="str">
        <f>IF(OR(ISBLANK(F9),ISBLANK(H9)),"N/A",IF(ABS(H9-F9)&gt;0.25,"&gt; 25%","ok"))</f>
        <v>N/A</v>
      </c>
      <c r="BF9" s="665"/>
      <c r="BG9" s="666" t="str">
        <f>IF(OR(ISBLANK(H9),ISBLANK(J9)),"N/A",IF(ABS(J9-H9)&gt;0.25,"&gt;25%","ok"))</f>
        <v>N/A</v>
      </c>
      <c r="BH9" s="666"/>
      <c r="BI9" s="666" t="str">
        <f>IF(OR(ISBLANK(J9),ISBLANK(L9)),"N/A",IF(ABS(L9-J9)&gt;25,"&gt; 25%","ok"))</f>
        <v>N/A</v>
      </c>
      <c r="BJ9" s="666"/>
      <c r="BK9" s="666" t="str">
        <f>IF(OR(ISBLANK(L9),ISBLANK(N9)),"N/A",IF(ABS(N9-L9)&gt;25,"&gt; 25%","ok"))</f>
        <v>N/A</v>
      </c>
      <c r="BL9" s="666"/>
      <c r="BM9" s="666" t="str">
        <f>IF(OR(ISBLANK(N9),ISBLANK(P9)),"N/A",IF(ABS(P9-N9)&gt;25,"&gt; 25%","ok"))</f>
        <v>N/A</v>
      </c>
      <c r="BN9" s="666"/>
      <c r="BO9" s="666" t="str">
        <f>IF(OR(ISBLANK(P9),ISBLANK(R9)),"N/A",IF(ABS(R9-P9)&gt;25,"&gt; 25%","ok"))</f>
        <v>N/A</v>
      </c>
      <c r="BP9" s="666"/>
      <c r="BQ9" s="666" t="str">
        <f>IF(OR(ISBLANK(R9),ISBLANK(T9)),"N/A",IF(ABS(T9-R9)&gt;25,"&gt; 25%","ok"))</f>
        <v>N/A</v>
      </c>
      <c r="BR9" s="666"/>
      <c r="BS9" s="666" t="str">
        <f>IF(OR(ISBLANK(T9),ISBLANK(V9)),"N/A",IF(ABS(V9-T9)&gt;25,"&gt; 25%","ok"))</f>
        <v>N/A</v>
      </c>
      <c r="BT9" s="666"/>
      <c r="BU9" s="666" t="str">
        <f>IF(OR(ISBLANK(V9),ISBLANK(X9)),"N/A",IF(ABS(X9-V9)&gt;25,"&gt; 25%","ok"))</f>
        <v>N/A</v>
      </c>
      <c r="BV9" s="666"/>
      <c r="BW9" s="666" t="str">
        <f>IF(OR(ISBLANK(X9),ISBLANK(Z9)),"N/A",IF(ABS(Z9-X9)&gt;25,"&gt; 25%","ok"))</f>
        <v>N/A</v>
      </c>
      <c r="BX9" s="666"/>
      <c r="BY9" s="666" t="str">
        <f>IF(OR(ISBLANK(Z9),ISBLANK(AB9)),"N/A",IF(ABS(AB9-Z9)&gt;25,"&gt; 25%","ok"))</f>
        <v>N/A</v>
      </c>
      <c r="BZ9" s="666"/>
      <c r="CA9" s="666" t="str">
        <f>IF(OR(ISBLANK(AB9),ISBLANK(AD9)),"N/A",IF(ABS(AD9-AB9)&gt;25,"&gt; 25%","ok"))</f>
        <v>N/A</v>
      </c>
      <c r="CB9" s="666"/>
      <c r="CC9" s="666" t="str">
        <f>IF(OR(ISBLANK(AD9),ISBLANK(AF9)),"N/A",IF(ABS(AF9-AD9)&gt;25,"&gt; 25%","ok"))</f>
        <v>N/A</v>
      </c>
      <c r="CD9" s="666"/>
      <c r="CE9" s="666" t="str">
        <f>IF(OR(ISBLANK(AF9),ISBLANK(AH9)),"N/A",IF(ABS(AH9-AF9)&gt;25,"&gt; 25%","ok"))</f>
        <v>N/A</v>
      </c>
      <c r="CF9" s="666"/>
      <c r="CG9" s="666" t="str">
        <f>IF(OR(ISBLANK(AH9),ISBLANK(AJ9)),"N/A",IF(ABS(AJ9-AH9)&gt;25,"&gt; 25%","ok"))</f>
        <v>N/A</v>
      </c>
      <c r="CH9" s="666"/>
      <c r="CI9" s="666" t="str">
        <f>IF(OR(ISBLANK(AJ9),ISBLANK(AL9)),"N/A",IF(ABS(AL9-AJ9)&gt;25,"&gt; 25%","ok"))</f>
        <v>N/A</v>
      </c>
      <c r="CJ9" s="666"/>
      <c r="CK9" s="666" t="str">
        <f>IF(OR(ISBLANK(AL9),ISBLANK(AN9)),"N/A",IF(ABS(AN9-AL9)&gt;25,"&gt; 25%","ok"))</f>
        <v>N/A</v>
      </c>
      <c r="CL9" s="666"/>
      <c r="CM9" s="666" t="str">
        <f>IF(OR(ISBLANK(AN9),ISBLANK(AP9)),"N/A",IF(ABS(AP9-AN9)&gt;25,"&gt; 25%","ok"))</f>
        <v>N/A</v>
      </c>
      <c r="CN9" s="666"/>
      <c r="CO9" s="666" t="str">
        <f>IF(OR(ISBLANK(AP9),ISBLANK(AR9)),"N/A",IF(ABS(AR9-AP9)&gt;25,"&gt; 25%","ok"))</f>
        <v>N/A</v>
      </c>
      <c r="CP9" s="666"/>
      <c r="CQ9" s="666" t="str">
        <f>IF(OR(ISBLANK(AR9),ISBLANK(AT9)),"N/A",IF(ABS(AT9-AR9)&gt;25,"&gt; 25%","ok"))</f>
        <v>N/A</v>
      </c>
      <c r="CR9" s="666"/>
      <c r="CS9" s="666" t="str">
        <f>IF(OR(ISBLANK(AT9),ISBLANK(AV9)),"N/A",IF(ABS(AV9-AT9)&gt;25,"&gt; 25%","ok"))</f>
        <v>N/A</v>
      </c>
    </row>
    <row r="10" spans="2:97" ht="36" customHeight="1">
      <c r="B10" s="254">
        <v>296</v>
      </c>
      <c r="C10" s="384">
        <v>3</v>
      </c>
      <c r="D10" s="277" t="s">
        <v>373</v>
      </c>
      <c r="E10" s="384" t="s">
        <v>521</v>
      </c>
      <c r="F10" s="589"/>
      <c r="G10" s="581"/>
      <c r="H10" s="589"/>
      <c r="I10" s="581"/>
      <c r="J10" s="589"/>
      <c r="K10" s="581"/>
      <c r="L10" s="589"/>
      <c r="M10" s="581"/>
      <c r="N10" s="589"/>
      <c r="O10" s="581"/>
      <c r="P10" s="589"/>
      <c r="Q10" s="581"/>
      <c r="R10" s="589"/>
      <c r="S10" s="581"/>
      <c r="T10" s="589"/>
      <c r="U10" s="581"/>
      <c r="V10" s="589"/>
      <c r="W10" s="581"/>
      <c r="X10" s="589"/>
      <c r="Y10" s="581"/>
      <c r="Z10" s="589"/>
      <c r="AA10" s="581"/>
      <c r="AB10" s="589"/>
      <c r="AC10" s="581"/>
      <c r="AD10" s="589"/>
      <c r="AE10" s="581"/>
      <c r="AF10" s="589"/>
      <c r="AG10" s="581"/>
      <c r="AH10" s="589"/>
      <c r="AI10" s="581"/>
      <c r="AJ10" s="589"/>
      <c r="AK10" s="581"/>
      <c r="AL10" s="589"/>
      <c r="AM10" s="581"/>
      <c r="AN10" s="589"/>
      <c r="AO10" s="581"/>
      <c r="AP10" s="589"/>
      <c r="AQ10" s="581"/>
      <c r="AR10" s="589"/>
      <c r="AS10" s="581"/>
      <c r="AT10" s="589"/>
      <c r="AU10" s="581"/>
      <c r="AV10" s="589"/>
      <c r="AW10" s="581"/>
      <c r="AZ10" s="662">
        <v>3</v>
      </c>
      <c r="BA10" s="733" t="s">
        <v>714</v>
      </c>
      <c r="BB10" s="662" t="s">
        <v>521</v>
      </c>
      <c r="BC10" s="667" t="s">
        <v>249</v>
      </c>
      <c r="BD10" s="670"/>
      <c r="BE10" s="666" t="str">
        <f>IF(OR(ISBLANK(F10),ISBLANK(H10)),"N/A",IF(ABS(H10-F10)&gt;0.25,"&gt; 25%","ok"))</f>
        <v>N/A</v>
      </c>
      <c r="BF10" s="665"/>
      <c r="BG10" s="666" t="str">
        <f>IF(OR(ISBLANK(H10),ISBLANK(J10)),"N/A",IF(ABS(J10-H10)&gt;0.25,"&gt;25%","ok"))</f>
        <v>N/A</v>
      </c>
      <c r="BH10" s="666"/>
      <c r="BI10" s="666" t="str">
        <f>IF(OR(ISBLANK(J10),ISBLANK(L10)),"N/A",IF(ABS(L10-J10)&gt;25,"&gt; 25%","ok"))</f>
        <v>N/A</v>
      </c>
      <c r="BJ10" s="666"/>
      <c r="BK10" s="666" t="str">
        <f>IF(OR(ISBLANK(L10),ISBLANK(N10)),"N/A",IF(ABS(N10-L10)&gt;25,"&gt; 25%","ok"))</f>
        <v>N/A</v>
      </c>
      <c r="BL10" s="666"/>
      <c r="BM10" s="666" t="str">
        <f>IF(OR(ISBLANK(N10),ISBLANK(P10)),"N/A",IF(ABS(P10-N10)&gt;25,"&gt; 25%","ok"))</f>
        <v>N/A</v>
      </c>
      <c r="BN10" s="666"/>
      <c r="BO10" s="666" t="str">
        <f>IF(OR(ISBLANK(P10),ISBLANK(R10)),"N/A",IF(ABS(R10-P10)&gt;25,"&gt; 25%","ok"))</f>
        <v>N/A</v>
      </c>
      <c r="BP10" s="666"/>
      <c r="BQ10" s="666" t="str">
        <f>IF(OR(ISBLANK(R10),ISBLANK(T10)),"N/A",IF(ABS(T10-R10)&gt;25,"&gt; 25%","ok"))</f>
        <v>N/A</v>
      </c>
      <c r="BR10" s="666"/>
      <c r="BS10" s="666" t="str">
        <f>IF(OR(ISBLANK(T10),ISBLANK(V10)),"N/A",IF(ABS(V10-T10)&gt;25,"&gt; 25%","ok"))</f>
        <v>N/A</v>
      </c>
      <c r="BT10" s="666"/>
      <c r="BU10" s="666" t="str">
        <f>IF(OR(ISBLANK(V10),ISBLANK(X10)),"N/A",IF(ABS(X10-V10)&gt;25,"&gt; 25%","ok"))</f>
        <v>N/A</v>
      </c>
      <c r="BV10" s="666"/>
      <c r="BW10" s="666" t="str">
        <f>IF(OR(ISBLANK(X10),ISBLANK(Z10)),"N/A",IF(ABS(Z10-X10)&gt;25,"&gt; 25%","ok"))</f>
        <v>N/A</v>
      </c>
      <c r="BX10" s="666"/>
      <c r="BY10" s="666" t="str">
        <f>IF(OR(ISBLANK(Z10),ISBLANK(AB10)),"N/A",IF(ABS(AB10-Z10)&gt;25,"&gt; 25%","ok"))</f>
        <v>N/A</v>
      </c>
      <c r="BZ10" s="666"/>
      <c r="CA10" s="666" t="str">
        <f>IF(OR(ISBLANK(AB10),ISBLANK(AD10)),"N/A",IF(ABS(AD10-AB10)&gt;25,"&gt; 25%","ok"))</f>
        <v>N/A</v>
      </c>
      <c r="CB10" s="666"/>
      <c r="CC10" s="666" t="str">
        <f>IF(OR(ISBLANK(AD10),ISBLANK(AF10)),"N/A",IF(ABS(AF10-AD10)&gt;25,"&gt; 25%","ok"))</f>
        <v>N/A</v>
      </c>
      <c r="CD10" s="666"/>
      <c r="CE10" s="666" t="str">
        <f>IF(OR(ISBLANK(AF10),ISBLANK(AH10)),"N/A",IF(ABS(AH10-AF10)&gt;25,"&gt; 25%","ok"))</f>
        <v>N/A</v>
      </c>
      <c r="CF10" s="666"/>
      <c r="CG10" s="666" t="str">
        <f>IF(OR(ISBLANK(AH10),ISBLANK(AJ10)),"N/A",IF(ABS(AJ10-AH10)&gt;25,"&gt; 25%","ok"))</f>
        <v>N/A</v>
      </c>
      <c r="CH10" s="666"/>
      <c r="CI10" s="666" t="str">
        <f>IF(OR(ISBLANK(AJ10),ISBLANK(AL10)),"N/A",IF(ABS(AL10-AJ10)&gt;25,"&gt; 25%","ok"))</f>
        <v>N/A</v>
      </c>
      <c r="CJ10" s="666"/>
      <c r="CK10" s="666" t="str">
        <f>IF(OR(ISBLANK(AL10),ISBLANK(AN10)),"N/A",IF(ABS(AN10-AL10)&gt;25,"&gt; 25%","ok"))</f>
        <v>N/A</v>
      </c>
      <c r="CL10" s="666"/>
      <c r="CM10" s="666" t="str">
        <f>IF(OR(ISBLANK(AN10),ISBLANK(AP10)),"N/A",IF(ABS(AP10-AN10)&gt;25,"&gt; 25%","ok"))</f>
        <v>N/A</v>
      </c>
      <c r="CN10" s="666"/>
      <c r="CO10" s="666" t="str">
        <f>IF(OR(ISBLANK(AP10),ISBLANK(AR10)),"N/A",IF(ABS(AR10-AP10)&gt;25,"&gt; 25%","ok"))</f>
        <v>N/A</v>
      </c>
      <c r="CP10" s="666"/>
      <c r="CQ10" s="666" t="str">
        <f>IF(OR(ISBLANK(AR10),ISBLANK(AT10)),"N/A",IF(ABS(AT10-AR10)&gt;25,"&gt; 25%","ok"))</f>
        <v>N/A</v>
      </c>
      <c r="CR10" s="666"/>
      <c r="CS10" s="666" t="str">
        <f>IF(OR(ISBLANK(AT10),ISBLANK(AV10)),"N/A",IF(ABS(AV10-AT10)&gt;25,"&gt; 25%","ok"))</f>
        <v>N/A</v>
      </c>
    </row>
    <row r="11" spans="2:97" ht="36" customHeight="1">
      <c r="B11" s="254">
        <v>165</v>
      </c>
      <c r="C11" s="389">
        <v>4</v>
      </c>
      <c r="D11" s="277" t="s">
        <v>449</v>
      </c>
      <c r="E11" s="384" t="s">
        <v>521</v>
      </c>
      <c r="F11" s="589"/>
      <c r="G11" s="581"/>
      <c r="H11" s="589"/>
      <c r="I11" s="581"/>
      <c r="J11" s="589"/>
      <c r="K11" s="581"/>
      <c r="L11" s="589"/>
      <c r="M11" s="581"/>
      <c r="N11" s="589"/>
      <c r="O11" s="581"/>
      <c r="P11" s="589"/>
      <c r="Q11" s="581"/>
      <c r="R11" s="589"/>
      <c r="S11" s="581"/>
      <c r="T11" s="589"/>
      <c r="U11" s="581"/>
      <c r="V11" s="589"/>
      <c r="W11" s="581"/>
      <c r="X11" s="589"/>
      <c r="Y11" s="581"/>
      <c r="Z11" s="589"/>
      <c r="AA11" s="581"/>
      <c r="AB11" s="589"/>
      <c r="AC11" s="581"/>
      <c r="AD11" s="589"/>
      <c r="AE11" s="581"/>
      <c r="AF11" s="589"/>
      <c r="AG11" s="581"/>
      <c r="AH11" s="589"/>
      <c r="AI11" s="581"/>
      <c r="AJ11" s="589"/>
      <c r="AK11" s="581"/>
      <c r="AL11" s="589"/>
      <c r="AM11" s="581"/>
      <c r="AN11" s="589"/>
      <c r="AO11" s="581"/>
      <c r="AP11" s="589"/>
      <c r="AQ11" s="581"/>
      <c r="AR11" s="589"/>
      <c r="AS11" s="581"/>
      <c r="AT11" s="589"/>
      <c r="AU11" s="581"/>
      <c r="AV11" s="589"/>
      <c r="AW11" s="581"/>
      <c r="AZ11" s="667">
        <v>4</v>
      </c>
      <c r="BA11" s="675" t="s">
        <v>201</v>
      </c>
      <c r="BB11" s="662" t="s">
        <v>521</v>
      </c>
      <c r="BC11" s="667" t="s">
        <v>249</v>
      </c>
      <c r="BD11" s="670"/>
      <c r="BE11" s="666" t="str">
        <f>IF(OR(ISBLANK(F11),ISBLANK(H11)),"N/A",IF(ABS(H11-F11)&gt;0.25,"&gt; 25%","ok"))</f>
        <v>N/A</v>
      </c>
      <c r="BF11" s="665"/>
      <c r="BG11" s="666" t="str">
        <f>IF(OR(ISBLANK(H11),ISBLANK(J11)),"N/A",IF(ABS(J11-H11)&gt;0.25,"&gt;25%","ok"))</f>
        <v>N/A</v>
      </c>
      <c r="BH11" s="666"/>
      <c r="BI11" s="666" t="str">
        <f>IF(OR(ISBLANK(J11),ISBLANK(L11)),"N/A",IF(ABS(L11-J11)&gt;25,"&gt; 25%","ok"))</f>
        <v>N/A</v>
      </c>
      <c r="BJ11" s="666"/>
      <c r="BK11" s="666" t="str">
        <f>IF(OR(ISBLANK(L11),ISBLANK(N11)),"N/A",IF(ABS(N11-L11)&gt;25,"&gt; 25%","ok"))</f>
        <v>N/A</v>
      </c>
      <c r="BL11" s="666"/>
      <c r="BM11" s="666" t="str">
        <f>IF(OR(ISBLANK(N11),ISBLANK(P11)),"N/A",IF(ABS(P11-N11)&gt;25,"&gt; 25%","ok"))</f>
        <v>N/A</v>
      </c>
      <c r="BN11" s="666"/>
      <c r="BO11" s="666" t="str">
        <f>IF(OR(ISBLANK(P11),ISBLANK(R11)),"N/A",IF(ABS(R11-P11)&gt;25,"&gt; 25%","ok"))</f>
        <v>N/A</v>
      </c>
      <c r="BP11" s="666"/>
      <c r="BQ11" s="666" t="str">
        <f>IF(OR(ISBLANK(R11),ISBLANK(T11)),"N/A",IF(ABS(T11-R11)&gt;25,"&gt; 25%","ok"))</f>
        <v>N/A</v>
      </c>
      <c r="BR11" s="666"/>
      <c r="BS11" s="666" t="str">
        <f>IF(OR(ISBLANK(T11),ISBLANK(V11)),"N/A",IF(ABS(V11-T11)&gt;25,"&gt; 25%","ok"))</f>
        <v>N/A</v>
      </c>
      <c r="BT11" s="666"/>
      <c r="BU11" s="666" t="str">
        <f>IF(OR(ISBLANK(V11),ISBLANK(X11)),"N/A",IF(ABS(X11-V11)&gt;25,"&gt; 25%","ok"))</f>
        <v>N/A</v>
      </c>
      <c r="BV11" s="666"/>
      <c r="BW11" s="666" t="str">
        <f>IF(OR(ISBLANK(X11),ISBLANK(Z11)),"N/A",IF(ABS(Z11-X11)&gt;25,"&gt; 25%","ok"))</f>
        <v>N/A</v>
      </c>
      <c r="BX11" s="666"/>
      <c r="BY11" s="666" t="str">
        <f>IF(OR(ISBLANK(Z11),ISBLANK(AB11)),"N/A",IF(ABS(AB11-Z11)&gt;25,"&gt; 25%","ok"))</f>
        <v>N/A</v>
      </c>
      <c r="BZ11" s="666"/>
      <c r="CA11" s="666" t="str">
        <f>IF(OR(ISBLANK(AB11),ISBLANK(AD11)),"N/A",IF(ABS(AD11-AB11)&gt;25,"&gt; 25%","ok"))</f>
        <v>N/A</v>
      </c>
      <c r="CB11" s="666"/>
      <c r="CC11" s="666" t="str">
        <f>IF(OR(ISBLANK(AD11),ISBLANK(AF11)),"N/A",IF(ABS(AF11-AD11)&gt;25,"&gt; 25%","ok"))</f>
        <v>N/A</v>
      </c>
      <c r="CD11" s="666"/>
      <c r="CE11" s="666" t="str">
        <f>IF(OR(ISBLANK(AF11),ISBLANK(AH11)),"N/A",IF(ABS(AH11-AF11)&gt;25,"&gt; 25%","ok"))</f>
        <v>N/A</v>
      </c>
      <c r="CF11" s="666"/>
      <c r="CG11" s="666" t="str">
        <f>IF(OR(ISBLANK(AH11),ISBLANK(AJ11)),"N/A",IF(ABS(AJ11-AH11)&gt;25,"&gt; 25%","ok"))</f>
        <v>N/A</v>
      </c>
      <c r="CH11" s="666"/>
      <c r="CI11" s="666" t="str">
        <f>IF(OR(ISBLANK(AJ11),ISBLANK(AL11)),"N/A",IF(ABS(AL11-AJ11)&gt;25,"&gt; 25%","ok"))</f>
        <v>N/A</v>
      </c>
      <c r="CJ11" s="666"/>
      <c r="CK11" s="666" t="str">
        <f>IF(OR(ISBLANK(AL11),ISBLANK(AN11)),"N/A",IF(ABS(AN11-AL11)&gt;25,"&gt; 25%","ok"))</f>
        <v>N/A</v>
      </c>
      <c r="CL11" s="666"/>
      <c r="CM11" s="666" t="str">
        <f>IF(OR(ISBLANK(AN11),ISBLANK(AP11)),"N/A",IF(ABS(AP11-AN11)&gt;25,"&gt; 25%","ok"))</f>
        <v>N/A</v>
      </c>
      <c r="CN11" s="666"/>
      <c r="CO11" s="666" t="str">
        <f>IF(OR(ISBLANK(AP11),ISBLANK(AR11)),"N/A",IF(ABS(AR11-AP11)&gt;25,"&gt; 25%","ok"))</f>
        <v>N/A</v>
      </c>
      <c r="CP11" s="666"/>
      <c r="CQ11" s="666" t="str">
        <f>IF(OR(ISBLANK(AR11),ISBLANK(AT11)),"N/A",IF(ABS(AT11-AR11)&gt;25,"&gt; 25%","ok"))</f>
        <v>N/A</v>
      </c>
      <c r="CR11" s="666"/>
      <c r="CS11" s="666" t="str">
        <f>IF(OR(ISBLANK(AT11),ISBLANK(AV11)),"N/A",IF(ABS(AV11-AT11)&gt;25,"&gt; 25%","ok"))</f>
        <v>N/A</v>
      </c>
    </row>
    <row r="12" spans="2:97" ht="36" customHeight="1">
      <c r="B12" s="254">
        <v>298</v>
      </c>
      <c r="C12" s="471">
        <v>5</v>
      </c>
      <c r="D12" s="281" t="s">
        <v>374</v>
      </c>
      <c r="E12" s="471" t="s">
        <v>521</v>
      </c>
      <c r="F12" s="590"/>
      <c r="G12" s="591"/>
      <c r="H12" s="590"/>
      <c r="I12" s="591"/>
      <c r="J12" s="590"/>
      <c r="K12" s="591"/>
      <c r="L12" s="590"/>
      <c r="M12" s="591"/>
      <c r="N12" s="590"/>
      <c r="O12" s="591"/>
      <c r="P12" s="590"/>
      <c r="Q12" s="591"/>
      <c r="R12" s="590"/>
      <c r="S12" s="591"/>
      <c r="T12" s="590"/>
      <c r="U12" s="591"/>
      <c r="V12" s="590"/>
      <c r="W12" s="591"/>
      <c r="X12" s="590"/>
      <c r="Y12" s="591"/>
      <c r="Z12" s="590"/>
      <c r="AA12" s="591"/>
      <c r="AB12" s="590"/>
      <c r="AC12" s="591"/>
      <c r="AD12" s="590"/>
      <c r="AE12" s="591"/>
      <c r="AF12" s="590"/>
      <c r="AG12" s="591"/>
      <c r="AH12" s="590"/>
      <c r="AI12" s="591"/>
      <c r="AJ12" s="590"/>
      <c r="AK12" s="591"/>
      <c r="AL12" s="590"/>
      <c r="AM12" s="591"/>
      <c r="AN12" s="590"/>
      <c r="AO12" s="591"/>
      <c r="AP12" s="590"/>
      <c r="AQ12" s="591"/>
      <c r="AR12" s="590"/>
      <c r="AS12" s="591"/>
      <c r="AT12" s="590"/>
      <c r="AU12" s="591"/>
      <c r="AV12" s="590"/>
      <c r="AW12" s="591"/>
      <c r="AZ12" s="677">
        <v>5</v>
      </c>
      <c r="BA12" s="734" t="s">
        <v>238</v>
      </c>
      <c r="BB12" s="677" t="s">
        <v>521</v>
      </c>
      <c r="BC12" s="677" t="s">
        <v>249</v>
      </c>
      <c r="BD12" s="680"/>
      <c r="BE12" s="679" t="str">
        <f>IF(OR(ISBLANK(F12),ISBLANK(H12)),"N/A",IF(ABS(H12-F12)&gt;0.25,"&gt; 25%","ok"))</f>
        <v>N/A</v>
      </c>
      <c r="BF12" s="679"/>
      <c r="BG12" s="679" t="str">
        <f>IF(OR(ISBLANK(H12),ISBLANK(J12)),"N/A",IF(ABS(J12-H12)&gt;0.25,"&gt;25%","ok"))</f>
        <v>N/A</v>
      </c>
      <c r="BH12" s="679"/>
      <c r="BI12" s="679" t="str">
        <f>IF(OR(ISBLANK(J12),ISBLANK(L12)),"N/A",IF(ABS(L12-J12)&gt;25,"&gt; 25%","ok"))</f>
        <v>N/A</v>
      </c>
      <c r="BJ12" s="679"/>
      <c r="BK12" s="679" t="str">
        <f>IF(OR(ISBLANK(L12),ISBLANK(N12)),"N/A",IF(ABS(N12-L12)&gt;25,"&gt; 25%","ok"))</f>
        <v>N/A</v>
      </c>
      <c r="BL12" s="679"/>
      <c r="BM12" s="679" t="str">
        <f>IF(OR(ISBLANK(N12),ISBLANK(P12)),"N/A",IF(ABS(P12-N12)&gt;25,"&gt; 25%","ok"))</f>
        <v>N/A</v>
      </c>
      <c r="BN12" s="679"/>
      <c r="BO12" s="679" t="str">
        <f>IF(OR(ISBLANK(P12),ISBLANK(R12)),"N/A",IF(ABS(R12-P12)&gt;25,"&gt; 25%","ok"))</f>
        <v>N/A</v>
      </c>
      <c r="BP12" s="679"/>
      <c r="BQ12" s="679" t="str">
        <f>IF(OR(ISBLANK(R12),ISBLANK(T12)),"N/A",IF(ABS(T12-R12)&gt;25,"&gt; 25%","ok"))</f>
        <v>N/A</v>
      </c>
      <c r="BR12" s="679"/>
      <c r="BS12" s="679" t="str">
        <f>IF(OR(ISBLANK(T12),ISBLANK(V12)),"N/A",IF(ABS(V12-T12)&gt;25,"&gt; 25%","ok"))</f>
        <v>N/A</v>
      </c>
      <c r="BT12" s="679"/>
      <c r="BU12" s="679" t="str">
        <f>IF(OR(ISBLANK(V12),ISBLANK(X12)),"N/A",IF(ABS(X12-V12)&gt;25,"&gt; 25%","ok"))</f>
        <v>N/A</v>
      </c>
      <c r="BV12" s="679"/>
      <c r="BW12" s="679" t="str">
        <f>IF(OR(ISBLANK(X12),ISBLANK(Z12)),"N/A",IF(ABS(Z12-X12)&gt;25,"&gt; 25%","ok"))</f>
        <v>N/A</v>
      </c>
      <c r="BX12" s="679"/>
      <c r="BY12" s="679" t="str">
        <f>IF(OR(ISBLANK(Z12),ISBLANK(AB12)),"N/A",IF(ABS(AB12-Z12)&gt;25,"&gt; 25%","ok"))</f>
        <v>N/A</v>
      </c>
      <c r="BZ12" s="679"/>
      <c r="CA12" s="679" t="str">
        <f>IF(OR(ISBLANK(AB12),ISBLANK(AD12)),"N/A",IF(ABS(AD12-AB12)&gt;25,"&gt; 25%","ok"))</f>
        <v>N/A</v>
      </c>
      <c r="CB12" s="679"/>
      <c r="CC12" s="679" t="str">
        <f>IF(OR(ISBLANK(AD12),ISBLANK(AF12)),"N/A",IF(ABS(AF12-AD12)&gt;25,"&gt; 25%","ok"))</f>
        <v>N/A</v>
      </c>
      <c r="CD12" s="679"/>
      <c r="CE12" s="679" t="str">
        <f>IF(OR(ISBLANK(AF12),ISBLANK(AH12)),"N/A",IF(ABS(AH12-AF12)&gt;25,"&gt; 25%","ok"))</f>
        <v>N/A</v>
      </c>
      <c r="CF12" s="679"/>
      <c r="CG12" s="679" t="str">
        <f>IF(OR(ISBLANK(AH12),ISBLANK(AJ12)),"N/A",IF(ABS(AJ12-AH12)&gt;25,"&gt; 25%","ok"))</f>
        <v>N/A</v>
      </c>
      <c r="CH12" s="679"/>
      <c r="CI12" s="679" t="str">
        <f>IF(OR(ISBLANK(AJ12),ISBLANK(AL12)),"N/A",IF(ABS(AL12-AJ12)&gt;25,"&gt; 25%","ok"))</f>
        <v>N/A</v>
      </c>
      <c r="CJ12" s="679"/>
      <c r="CK12" s="679" t="str">
        <f>IF(OR(ISBLANK(AL12),ISBLANK(AN12)),"N/A",IF(ABS(AN12-AL12)&gt;25,"&gt; 25%","ok"))</f>
        <v>N/A</v>
      </c>
      <c r="CL12" s="679"/>
      <c r="CM12" s="679" t="str">
        <f>IF(OR(ISBLANK(AN12),ISBLANK(AP12)),"N/A",IF(ABS(AP12-AN12)&gt;25,"&gt; 25%","ok"))</f>
        <v>N/A</v>
      </c>
      <c r="CN12" s="679"/>
      <c r="CO12" s="679" t="str">
        <f>IF(OR(ISBLANK(AP12),ISBLANK(AR12)),"N/A",IF(ABS(AR12-AP12)&gt;25,"&gt; 25%","ok"))</f>
        <v>N/A</v>
      </c>
      <c r="CP12" s="679"/>
      <c r="CQ12" s="679" t="str">
        <f>IF(OR(ISBLANK(AR12),ISBLANK(AT12)),"N/A",IF(ABS(AT12-AR12)&gt;25,"&gt; 25%","ok"))</f>
        <v>N/A</v>
      </c>
      <c r="CR12" s="679"/>
      <c r="CS12" s="679" t="str">
        <f>IF(OR(ISBLANK(AT12),ISBLANK(AV12)),"N/A",IF(ABS(AV12-AT12)&gt;25,"&gt; 25%","ok"))</f>
        <v>N/A</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row>
    <row r="14" spans="3:97" ht="12.75">
      <c r="C14" s="369" t="s">
        <v>343</v>
      </c>
      <c r="D14" s="285"/>
      <c r="E14" s="473"/>
      <c r="F14" s="474"/>
      <c r="G14" s="474"/>
      <c r="AZ14" s="737" t="s">
        <v>647</v>
      </c>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row>
    <row r="15" spans="1:111" ht="14.25" customHeight="1">
      <c r="A15" s="297"/>
      <c r="B15" s="297"/>
      <c r="C15" s="301" t="s">
        <v>267</v>
      </c>
      <c r="D15" s="930" t="s">
        <v>330</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537"/>
      <c r="AZ15" s="661" t="s">
        <v>16</v>
      </c>
      <c r="BA15" s="661" t="s">
        <v>17</v>
      </c>
      <c r="BB15" s="661" t="s">
        <v>18</v>
      </c>
      <c r="BC15" s="661">
        <v>2000</v>
      </c>
      <c r="BD15" s="661"/>
      <c r="BE15" s="661">
        <v>2001</v>
      </c>
      <c r="BF15" s="661"/>
      <c r="BG15" s="661">
        <v>2002</v>
      </c>
      <c r="BH15" s="661"/>
      <c r="BI15" s="661">
        <v>2003</v>
      </c>
      <c r="BJ15" s="661"/>
      <c r="BK15" s="661">
        <v>2004</v>
      </c>
      <c r="BL15" s="661"/>
      <c r="BM15" s="661">
        <v>2005</v>
      </c>
      <c r="BN15" s="661"/>
      <c r="BO15" s="661">
        <v>2006</v>
      </c>
      <c r="BP15" s="661"/>
      <c r="BQ15" s="661">
        <v>2007</v>
      </c>
      <c r="BR15" s="661"/>
      <c r="BS15" s="661">
        <v>2008</v>
      </c>
      <c r="BT15" s="661"/>
      <c r="BU15" s="661">
        <v>2009</v>
      </c>
      <c r="BV15" s="661"/>
      <c r="BW15" s="661">
        <v>2010</v>
      </c>
      <c r="BX15" s="661"/>
      <c r="BY15" s="661">
        <v>2011</v>
      </c>
      <c r="BZ15" s="661"/>
      <c r="CA15" s="661">
        <v>2012</v>
      </c>
      <c r="CB15" s="661"/>
      <c r="CC15" s="661">
        <v>2013</v>
      </c>
      <c r="CD15" s="661"/>
      <c r="CE15" s="661">
        <v>2014</v>
      </c>
      <c r="CF15" s="661"/>
      <c r="CG15" s="661">
        <v>2015</v>
      </c>
      <c r="CH15" s="661"/>
      <c r="CI15" s="661">
        <v>2016</v>
      </c>
      <c r="CJ15" s="661"/>
      <c r="CK15" s="661">
        <v>2017</v>
      </c>
      <c r="CL15" s="661"/>
      <c r="CM15" s="661">
        <v>2018</v>
      </c>
      <c r="CN15" s="661"/>
      <c r="CO15" s="661">
        <v>2019</v>
      </c>
      <c r="CP15" s="661"/>
      <c r="CQ15" s="661">
        <v>2020</v>
      </c>
      <c r="CR15" s="661"/>
      <c r="CS15" s="661">
        <v>2021</v>
      </c>
      <c r="CU15" s="299"/>
      <c r="CV15" s="299"/>
      <c r="CW15" s="299"/>
      <c r="CX15" s="299"/>
      <c r="CY15" s="299"/>
      <c r="CZ15" s="299"/>
      <c r="DA15" s="299"/>
      <c r="DB15" s="299"/>
      <c r="DC15" s="299"/>
      <c r="DD15" s="299"/>
      <c r="DE15" s="299"/>
      <c r="DF15" s="299"/>
      <c r="DG15" s="299"/>
    </row>
    <row r="16" spans="1:111" ht="16.5" customHeight="1">
      <c r="A16" s="297"/>
      <c r="B16" s="297"/>
      <c r="C16" s="301" t="s">
        <v>267</v>
      </c>
      <c r="D16" s="924" t="s">
        <v>332</v>
      </c>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537"/>
      <c r="AZ16" s="699">
        <v>1</v>
      </c>
      <c r="BA16" s="731" t="s">
        <v>204</v>
      </c>
      <c r="BB16" s="662" t="s">
        <v>521</v>
      </c>
      <c r="BC16" s="662">
        <f>F8</f>
        <v>43.9000015258789</v>
      </c>
      <c r="BD16" s="662"/>
      <c r="BE16" s="662">
        <f>H8</f>
        <v>0</v>
      </c>
      <c r="BF16" s="662"/>
      <c r="BG16" s="662">
        <f>J8</f>
        <v>45.7999992370605</v>
      </c>
      <c r="BH16" s="662"/>
      <c r="BI16" s="662">
        <f>L8</f>
        <v>43.5999984741211</v>
      </c>
      <c r="BJ16" s="662"/>
      <c r="BK16" s="662">
        <f>N8</f>
        <v>42.9000015258789</v>
      </c>
      <c r="BL16" s="662"/>
      <c r="BM16" s="662">
        <f>P8</f>
        <v>44.7000007629395</v>
      </c>
      <c r="BN16" s="662"/>
      <c r="BO16" s="662">
        <f>R8</f>
        <v>45.2999992370605</v>
      </c>
      <c r="BP16" s="662"/>
      <c r="BQ16" s="662">
        <f>T8</f>
        <v>0</v>
      </c>
      <c r="BR16" s="662"/>
      <c r="BS16" s="662">
        <f>V8</f>
        <v>45.5</v>
      </c>
      <c r="BT16" s="662"/>
      <c r="BU16" s="662">
        <f>X8</f>
        <v>52.0999984741211</v>
      </c>
      <c r="BV16" s="662"/>
      <c r="BW16" s="662">
        <f>Z8</f>
        <v>54.4000015258789</v>
      </c>
      <c r="BX16" s="662"/>
      <c r="BY16" s="662">
        <f>AB8</f>
        <v>55</v>
      </c>
      <c r="BZ16" s="662"/>
      <c r="CA16" s="662">
        <f>AD8</f>
        <v>57.4000015258789</v>
      </c>
      <c r="CB16" s="662"/>
      <c r="CC16" s="662">
        <f>AF8</f>
        <v>55.2999992370605</v>
      </c>
      <c r="CD16" s="662"/>
      <c r="CE16" s="662">
        <f>AH8</f>
        <v>0</v>
      </c>
      <c r="CF16" s="665"/>
      <c r="CG16" s="662">
        <f>AJ8</f>
        <v>53.9000015258789</v>
      </c>
      <c r="CH16" s="662"/>
      <c r="CI16" s="662">
        <f>AL8</f>
        <v>0</v>
      </c>
      <c r="CJ16" s="662"/>
      <c r="CK16" s="662">
        <f>AN8</f>
        <v>0</v>
      </c>
      <c r="CL16" s="662"/>
      <c r="CM16" s="662">
        <f>AP8</f>
        <v>0</v>
      </c>
      <c r="CN16" s="665"/>
      <c r="CO16" s="662">
        <f>AR8</f>
        <v>58.5</v>
      </c>
      <c r="CP16" s="662"/>
      <c r="CQ16" s="662">
        <f>AT8</f>
        <v>0</v>
      </c>
      <c r="CR16" s="662"/>
      <c r="CS16" s="662">
        <f>AV8</f>
        <v>0</v>
      </c>
      <c r="CU16" s="299"/>
      <c r="CV16" s="299"/>
      <c r="CW16" s="299"/>
      <c r="CX16" s="299"/>
      <c r="CY16" s="299"/>
      <c r="CZ16" s="299"/>
      <c r="DA16" s="299"/>
      <c r="DB16" s="299"/>
      <c r="DC16" s="299"/>
      <c r="DD16" s="299"/>
      <c r="DE16" s="299"/>
      <c r="DF16" s="299"/>
      <c r="DG16" s="299"/>
    </row>
    <row r="17" spans="1:111" ht="6" customHeight="1">
      <c r="A17" s="297"/>
      <c r="B17" s="297"/>
      <c r="C17" s="30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37"/>
      <c r="AZ17" s="698">
        <v>2</v>
      </c>
      <c r="BA17" s="732" t="s">
        <v>205</v>
      </c>
      <c r="BB17" s="662" t="s">
        <v>521</v>
      </c>
      <c r="BC17" s="662">
        <f>F9</f>
        <v>0</v>
      </c>
      <c r="BD17" s="662"/>
      <c r="BE17" s="662">
        <f>H9</f>
        <v>0</v>
      </c>
      <c r="BF17" s="662"/>
      <c r="BG17" s="662">
        <f>J9</f>
        <v>0</v>
      </c>
      <c r="BH17" s="662"/>
      <c r="BI17" s="662">
        <f>L9</f>
        <v>0</v>
      </c>
      <c r="BJ17" s="662"/>
      <c r="BK17" s="662">
        <f>N9</f>
        <v>0</v>
      </c>
      <c r="BL17" s="662"/>
      <c r="BM17" s="662">
        <f>P9</f>
        <v>0</v>
      </c>
      <c r="BN17" s="662"/>
      <c r="BO17" s="662">
        <f>R9</f>
        <v>0</v>
      </c>
      <c r="BP17" s="662"/>
      <c r="BQ17" s="662">
        <f>T9</f>
        <v>0</v>
      </c>
      <c r="BR17" s="662"/>
      <c r="BS17" s="662">
        <f>V9</f>
        <v>0</v>
      </c>
      <c r="BT17" s="662"/>
      <c r="BU17" s="662">
        <f>X9</f>
        <v>0</v>
      </c>
      <c r="BV17" s="662"/>
      <c r="BW17" s="662">
        <f>Z9</f>
        <v>0</v>
      </c>
      <c r="BX17" s="662"/>
      <c r="BY17" s="662">
        <f>AB9</f>
        <v>0</v>
      </c>
      <c r="BZ17" s="662"/>
      <c r="CA17" s="662">
        <f>AD9</f>
        <v>0</v>
      </c>
      <c r="CB17" s="662"/>
      <c r="CC17" s="662">
        <f>AF9</f>
        <v>0</v>
      </c>
      <c r="CD17" s="662"/>
      <c r="CE17" s="662">
        <f>AH9</f>
        <v>0</v>
      </c>
      <c r="CF17" s="665"/>
      <c r="CG17" s="662">
        <f>AJ9</f>
        <v>0</v>
      </c>
      <c r="CH17" s="662"/>
      <c r="CI17" s="662">
        <f>AL9</f>
        <v>0</v>
      </c>
      <c r="CJ17" s="662"/>
      <c r="CK17" s="662">
        <f>AN9</f>
        <v>0</v>
      </c>
      <c r="CL17" s="662"/>
      <c r="CM17" s="662">
        <f>AP9</f>
        <v>0</v>
      </c>
      <c r="CN17" s="665"/>
      <c r="CO17" s="662">
        <f>AR9</f>
        <v>0</v>
      </c>
      <c r="CP17" s="662"/>
      <c r="CQ17" s="662">
        <f>AT9</f>
        <v>0</v>
      </c>
      <c r="CR17" s="662"/>
      <c r="CS17" s="662">
        <f>AV9</f>
        <v>25</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4" t="s">
        <v>295</v>
      </c>
      <c r="BA18" s="683" t="s">
        <v>222</v>
      </c>
      <c r="BB18" s="662"/>
      <c r="BC18" s="662" t="str">
        <f>IF(OR(ISBLANK(F8),ISBLANK(F9)),"N/A",IF(BC16&gt;=BC17,"ok","&lt;&gt;"))</f>
        <v>N/A</v>
      </c>
      <c r="BD18" s="662"/>
      <c r="BE18" s="662" t="str">
        <f>IF(OR(ISBLANK(H8),ISBLANK(H9)),"N/A",IF(BE16&gt;=BE17,"ok","&lt;&gt;"))</f>
        <v>N/A</v>
      </c>
      <c r="BF18" s="662"/>
      <c r="BG18" s="662" t="str">
        <f>IF(OR(ISBLANK(J8),ISBLANK(J9)),"N/A",IF(BG16&gt;=BG17,"ok","&lt;&gt;"))</f>
        <v>N/A</v>
      </c>
      <c r="BH18" s="662"/>
      <c r="BI18" s="662" t="str">
        <f>IF(OR(ISBLANK(L8),ISBLANK(L9)),"N/A",IF(BI16&gt;=BI17,"ok","&lt;&gt;"))</f>
        <v>N/A</v>
      </c>
      <c r="BJ18" s="662"/>
      <c r="BK18" s="662" t="str">
        <f>IF(OR(ISBLANK(N8),ISBLANK(N9)),"N/A",IF(BK16&gt;=BK17,"ok","&lt;&gt;"))</f>
        <v>N/A</v>
      </c>
      <c r="BL18" s="662"/>
      <c r="BM18" s="662" t="str">
        <f>IF(OR(ISBLANK(P8),ISBLANK(P9)),"N/A",IF(BM16&gt;=BM17,"ok","&lt;&gt;"))</f>
        <v>N/A</v>
      </c>
      <c r="BN18" s="662"/>
      <c r="BO18" s="662" t="str">
        <f>IF(OR(ISBLANK(R8),ISBLANK(R9)),"N/A",IF(BO16&gt;=BO17,"ok","&lt;&gt;"))</f>
        <v>N/A</v>
      </c>
      <c r="BP18" s="662"/>
      <c r="BQ18" s="662" t="str">
        <f>IF(OR(ISBLANK(T8),ISBLANK(T9)),"N/A",IF(BQ16&gt;=BQ17,"ok","&lt;&gt;"))</f>
        <v>N/A</v>
      </c>
      <c r="BR18" s="662"/>
      <c r="BS18" s="662" t="str">
        <f>IF(OR(ISBLANK(V8),ISBLANK(V9)),"N/A",IF(BS16&gt;=BS17,"ok","&lt;&gt;"))</f>
        <v>N/A</v>
      </c>
      <c r="BT18" s="662"/>
      <c r="BU18" s="662" t="str">
        <f>IF(OR(ISBLANK(X8),ISBLANK(X9)),"N/A",IF(BU16&gt;=BU17,"ok","&lt;&gt;"))</f>
        <v>N/A</v>
      </c>
      <c r="BV18" s="662"/>
      <c r="BW18" s="662" t="str">
        <f>IF(OR(ISBLANK(Z8),ISBLANK(Z9)),"N/A",IF(BW16&gt;=BW17,"ok","&lt;&gt;"))</f>
        <v>N/A</v>
      </c>
      <c r="BX18" s="662"/>
      <c r="BY18" s="662" t="str">
        <f>IF(OR(ISBLANK(AB8),ISBLANK(AB9)),"N/A",IF(BY16&gt;=BY17,"ok","&lt;&gt;"))</f>
        <v>N/A</v>
      </c>
      <c r="BZ18" s="662"/>
      <c r="CA18" s="662" t="str">
        <f>IF(OR(ISBLANK(AD8),ISBLANK(AD9)),"N/A",IF(CA16&gt;=CA17,"ok","&lt;&gt;"))</f>
        <v>N/A</v>
      </c>
      <c r="CB18" s="662"/>
      <c r="CC18" s="662" t="str">
        <f>IF(OR(ISBLANK(AF8),ISBLANK(AF9)),"N/A",IF(CC16&gt;=CC17,"ok","&lt;&gt;"))</f>
        <v>N/A</v>
      </c>
      <c r="CD18" s="662"/>
      <c r="CE18" s="662" t="str">
        <f>IF(OR(ISBLANK(AH8),ISBLANK(AH9)),"N/A",IF(CE16&gt;=CE17,"ok","&lt;&gt;"))</f>
        <v>N/A</v>
      </c>
      <c r="CF18" s="665"/>
      <c r="CG18" s="662" t="str">
        <f>IF(OR(ISBLANK(AJ8),ISBLANK(AJ9)),"N/A",IF(CG16&gt;=CG17,"ok","&lt;&gt;"))</f>
        <v>N/A</v>
      </c>
      <c r="CH18" s="662"/>
      <c r="CI18" s="662" t="str">
        <f>IF(OR(ISBLANK(AL8),ISBLANK(AL9)),"N/A",IF(CI16&gt;=CI17,"ok","&lt;&gt;"))</f>
        <v>N/A</v>
      </c>
      <c r="CJ18" s="662"/>
      <c r="CK18" s="662" t="str">
        <f>IF(OR(ISBLANK(AN8),ISBLANK(AN9)),"N/A",IF(CK16&gt;=CK17,"ok","&lt;&gt;"))</f>
        <v>N/A</v>
      </c>
      <c r="CL18" s="662"/>
      <c r="CM18" s="662" t="str">
        <f>IF(OR(ISBLANK(AP8),ISBLANK(AP9)),"N/A",IF(CM16&gt;=CM17,"ok","&lt;&gt;"))</f>
        <v>N/A</v>
      </c>
      <c r="CN18" s="665"/>
      <c r="CO18" s="662" t="str">
        <f>IF(OR(ISBLANK(AR8),ISBLANK(AR9)),"N/A",IF(CO16&gt;=CO17,"ok","&lt;&gt;"))</f>
        <v>N/A</v>
      </c>
      <c r="CP18" s="662"/>
      <c r="CQ18" s="662" t="str">
        <f>IF(OR(ISBLANK(AT8),ISBLANK(AT9)),"N/A",IF(CQ16&gt;=CQ17,"ok","&lt;&gt;"))</f>
        <v>N/A</v>
      </c>
      <c r="CR18" s="662"/>
      <c r="CS18" s="662" t="str">
        <f>IF(OR(ISBLANK(AV8),ISBLANK(AV9)),"N/A",IF(CS16&gt;=CS17,"ok","&lt;&gt;"))</f>
        <v>N/A</v>
      </c>
      <c r="CT18" s="208"/>
    </row>
    <row r="19" spans="1:98" s="446" customFormat="1" ht="30">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2">
        <v>3</v>
      </c>
      <c r="BA19" s="733" t="s">
        <v>714</v>
      </c>
      <c r="BB19" s="662" t="s">
        <v>521</v>
      </c>
      <c r="BC19" s="662">
        <f>F10</f>
        <v>0</v>
      </c>
      <c r="BD19" s="662"/>
      <c r="BE19" s="662">
        <f>H10</f>
        <v>0</v>
      </c>
      <c r="BF19" s="662"/>
      <c r="BG19" s="662">
        <f>J10</f>
        <v>0</v>
      </c>
      <c r="BH19" s="662"/>
      <c r="BI19" s="662">
        <f>L10</f>
        <v>0</v>
      </c>
      <c r="BJ19" s="662"/>
      <c r="BK19" s="662">
        <f>N10</f>
        <v>0</v>
      </c>
      <c r="BL19" s="662"/>
      <c r="BM19" s="662">
        <f>P10</f>
        <v>0</v>
      </c>
      <c r="BN19" s="662"/>
      <c r="BO19" s="662">
        <f>R10</f>
        <v>0</v>
      </c>
      <c r="BP19" s="662"/>
      <c r="BQ19" s="662">
        <f>T10</f>
        <v>0</v>
      </c>
      <c r="BR19" s="662"/>
      <c r="BS19" s="662">
        <f>V10</f>
        <v>0</v>
      </c>
      <c r="BT19" s="662"/>
      <c r="BU19" s="662">
        <f>X10</f>
        <v>0</v>
      </c>
      <c r="BV19" s="662"/>
      <c r="BW19" s="662">
        <f>Z10</f>
        <v>0</v>
      </c>
      <c r="BX19" s="662"/>
      <c r="BY19" s="662">
        <f>AB10</f>
        <v>0</v>
      </c>
      <c r="BZ19" s="662"/>
      <c r="CA19" s="662">
        <f>AD10</f>
        <v>0</v>
      </c>
      <c r="CB19" s="662"/>
      <c r="CC19" s="662">
        <f>AF10</f>
        <v>0</v>
      </c>
      <c r="CD19" s="662"/>
      <c r="CE19" s="662">
        <f>AH10</f>
        <v>0</v>
      </c>
      <c r="CF19" s="665"/>
      <c r="CG19" s="662">
        <f>AJ10</f>
        <v>0</v>
      </c>
      <c r="CH19" s="662"/>
      <c r="CI19" s="662">
        <f>AL10</f>
        <v>0</v>
      </c>
      <c r="CJ19" s="662"/>
      <c r="CK19" s="662">
        <f>AN10</f>
        <v>0</v>
      </c>
      <c r="CL19" s="662"/>
      <c r="CM19" s="662">
        <f>AP10</f>
        <v>0</v>
      </c>
      <c r="CN19" s="665"/>
      <c r="CO19" s="662">
        <f>AR10</f>
        <v>0</v>
      </c>
      <c r="CP19" s="662"/>
      <c r="CQ19" s="662">
        <f>AT10</f>
        <v>0</v>
      </c>
      <c r="CR19" s="662"/>
      <c r="CS19" s="662">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8"/>
      <c r="BA20" s="735"/>
      <c r="BB20" s="662"/>
      <c r="BC20" s="662"/>
      <c r="BD20" s="665"/>
      <c r="BE20" s="666"/>
      <c r="BF20" s="665"/>
      <c r="BG20" s="666"/>
      <c r="BH20" s="665"/>
      <c r="BI20" s="666"/>
      <c r="BJ20" s="665"/>
      <c r="BK20" s="662"/>
      <c r="BL20" s="665"/>
      <c r="BM20" s="662"/>
      <c r="BN20" s="665"/>
      <c r="BO20" s="662"/>
      <c r="BP20" s="665"/>
      <c r="BQ20" s="662"/>
      <c r="BR20" s="665"/>
      <c r="BS20" s="662"/>
      <c r="BT20" s="665"/>
      <c r="BU20" s="662"/>
      <c r="BV20" s="665"/>
      <c r="BW20" s="666"/>
      <c r="BX20" s="665"/>
      <c r="BY20" s="662"/>
      <c r="BZ20" s="665"/>
      <c r="CA20" s="662"/>
      <c r="CB20" s="665"/>
      <c r="CC20" s="662"/>
      <c r="CD20" s="665"/>
      <c r="CE20" s="662"/>
      <c r="CF20" s="665"/>
      <c r="CG20" s="662"/>
      <c r="CH20" s="665"/>
      <c r="CI20" s="662"/>
      <c r="CJ20" s="665"/>
      <c r="CK20" s="662"/>
      <c r="CL20" s="665"/>
      <c r="CM20" s="662"/>
      <c r="CN20" s="665"/>
      <c r="CO20" s="662"/>
      <c r="CP20" s="665"/>
      <c r="CQ20" s="662"/>
      <c r="CR20" s="665"/>
      <c r="CS20" s="662"/>
    </row>
    <row r="21" spans="3:97" ht="18" customHeight="1">
      <c r="C21" s="321" t="s">
        <v>337</v>
      </c>
      <c r="D21" s="880" t="s">
        <v>336</v>
      </c>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c r="AZ21" s="684" t="s">
        <v>295</v>
      </c>
      <c r="BA21" s="683" t="s">
        <v>221</v>
      </c>
      <c r="BB21" s="662"/>
      <c r="BC21" s="662" t="str">
        <f>IF(OR(ISBLANK(F10),ISBLANK(F9)),"N/A",IF(BC17&gt;=BC19,"ok","&lt;&gt;"))</f>
        <v>N/A</v>
      </c>
      <c r="BD21" s="662"/>
      <c r="BE21" s="662" t="str">
        <f>IF(OR(ISBLANK(H10),ISBLANK(H9)),"N/A",IF(BE17&gt;=BE19,"ok","&lt;&gt;"))</f>
        <v>N/A</v>
      </c>
      <c r="BF21" s="662"/>
      <c r="BG21" s="662" t="str">
        <f>IF(OR(ISBLANK(J10),ISBLANK(J9)),"N/A",IF(BG17&gt;=BG19,"ok","&lt;&gt;"))</f>
        <v>N/A</v>
      </c>
      <c r="BH21" s="662"/>
      <c r="BI21" s="662" t="str">
        <f>IF(OR(ISBLANK(L10),ISBLANK(L9)),"N/A",IF(BI17&gt;=BI19,"ok","&lt;&gt;"))</f>
        <v>N/A</v>
      </c>
      <c r="BJ21" s="662"/>
      <c r="BK21" s="662" t="str">
        <f>IF(OR(ISBLANK(N10),ISBLANK(N9)),"N/A",IF(BK17&gt;=BK19,"ok","&lt;&gt;"))</f>
        <v>N/A</v>
      </c>
      <c r="BL21" s="662"/>
      <c r="BM21" s="662" t="str">
        <f>IF(OR(ISBLANK(P10),ISBLANK(P9)),"N/A",IF(BM17&gt;=BM19,"ok","&lt;&gt;"))</f>
        <v>N/A</v>
      </c>
      <c r="BN21" s="662"/>
      <c r="BO21" s="662" t="str">
        <f>IF(OR(ISBLANK(R10),ISBLANK(R9)),"N/A",IF(BO17&gt;=BO19,"ok","&lt;&gt;"))</f>
        <v>N/A</v>
      </c>
      <c r="BP21" s="662"/>
      <c r="BQ21" s="662" t="str">
        <f>IF(OR(ISBLANK(T10),ISBLANK(T9)),"N/A",IF(BQ17&gt;=BQ19,"ok","&lt;&gt;"))</f>
        <v>N/A</v>
      </c>
      <c r="BR21" s="662"/>
      <c r="BS21" s="662" t="str">
        <f>IF(OR(ISBLANK(V10),ISBLANK(V9)),"N/A",IF(BS17&gt;=BS19,"ok","&lt;&gt;"))</f>
        <v>N/A</v>
      </c>
      <c r="BT21" s="662"/>
      <c r="BU21" s="662" t="str">
        <f>IF(OR(ISBLANK(X10),ISBLANK(X9)),"N/A",IF(BU17&gt;=BU19,"ok","&lt;&gt;"))</f>
        <v>N/A</v>
      </c>
      <c r="BV21" s="662"/>
      <c r="BW21" s="662" t="str">
        <f>IF(OR(ISBLANK(Z10),ISBLANK(Z9)),"N/A",IF(BW17&gt;=BW19,"ok","&lt;&gt;"))</f>
        <v>N/A</v>
      </c>
      <c r="BX21" s="662"/>
      <c r="BY21" s="662" t="str">
        <f>IF(OR(ISBLANK(AB10),ISBLANK(AB9)),"N/A",IF(BY17&gt;=BY19,"ok","&lt;&gt;"))</f>
        <v>N/A</v>
      </c>
      <c r="BZ21" s="662"/>
      <c r="CA21" s="662" t="str">
        <f>IF(OR(ISBLANK(AD10),ISBLANK(AD9)),"N/A",IF(CA17&gt;=CA19,"ok","&lt;&gt;"))</f>
        <v>N/A</v>
      </c>
      <c r="CB21" s="662"/>
      <c r="CC21" s="662" t="str">
        <f>IF(OR(ISBLANK(AF10),ISBLANK(AF9)),"N/A",IF(CC17&gt;=CC19,"ok","&lt;&gt;"))</f>
        <v>N/A</v>
      </c>
      <c r="CD21" s="662"/>
      <c r="CE21" s="662" t="str">
        <f>IF(OR(ISBLANK(AH10),ISBLANK(AH9)),"N/A",IF(CE17&gt;=CE19,"ok","&lt;&gt;"))</f>
        <v>N/A</v>
      </c>
      <c r="CF21" s="665"/>
      <c r="CG21" s="662" t="str">
        <f>IF(OR(ISBLANK(AJ10),ISBLANK(AJ9)),"N/A",IF(CG17&gt;=CG19,"ok","&lt;&gt;"))</f>
        <v>N/A</v>
      </c>
      <c r="CH21" s="662"/>
      <c r="CI21" s="662" t="str">
        <f>IF(OR(ISBLANK(AL10),ISBLANK(AL9)),"N/A",IF(CI17&gt;=CI19,"ok","&lt;&gt;"))</f>
        <v>N/A</v>
      </c>
      <c r="CJ21" s="662"/>
      <c r="CK21" s="662" t="str">
        <f>IF(OR(ISBLANK(AN10),ISBLANK(AN9)),"N/A",IF(CK17&gt;=CK19,"ok","&lt;&gt;"))</f>
        <v>N/A</v>
      </c>
      <c r="CL21" s="662"/>
      <c r="CM21" s="662" t="str">
        <f>IF(OR(ISBLANK(AP10),ISBLANK(AP9)),"N/A",IF(CM17&gt;=CM19,"ok","&lt;&gt;"))</f>
        <v>N/A</v>
      </c>
      <c r="CN21" s="665"/>
      <c r="CO21" s="662" t="str">
        <f>IF(OR(ISBLANK(AR10),ISBLANK(AR9)),"N/A",IF(CO17&gt;=CO19,"ok","&lt;&gt;"))</f>
        <v>N/A</v>
      </c>
      <c r="CP21" s="662"/>
      <c r="CQ21" s="662" t="str">
        <f>IF(OR(ISBLANK(AT10),ISBLANK(AT9)),"N/A",IF(CQ17&gt;=CQ19,"ok","&lt;&gt;"))</f>
        <v>N/A</v>
      </c>
      <c r="CR21" s="662"/>
      <c r="CS21" s="662" t="str">
        <f>IF(OR(ISBLANK(AV10),ISBLANK(AV9)),"N/A",IF(CS17&gt;=CS19,"ok","&lt;&gt;"))</f>
        <v>N/A</v>
      </c>
    </row>
    <row r="22" spans="1:97" ht="18" customHeight="1">
      <c r="A22" s="195">
        <v>0</v>
      </c>
      <c r="B22" s="196">
        <v>3249</v>
      </c>
      <c r="C22" s="559" t="s">
        <v>716</v>
      </c>
      <c r="D22" s="927" t="s">
        <v>723</v>
      </c>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Z22" s="667">
        <v>5</v>
      </c>
      <c r="BA22" s="668" t="s">
        <v>238</v>
      </c>
      <c r="BB22" s="667" t="s">
        <v>521</v>
      </c>
      <c r="BC22" s="662">
        <f>F12</f>
        <v>0</v>
      </c>
      <c r="BD22" s="662"/>
      <c r="BE22" s="662">
        <f>H12</f>
        <v>0</v>
      </c>
      <c r="BF22" s="662"/>
      <c r="BG22" s="662">
        <f>J12</f>
        <v>0</v>
      </c>
      <c r="BH22" s="662"/>
      <c r="BI22" s="662">
        <f>L12</f>
        <v>0</v>
      </c>
      <c r="BJ22" s="662"/>
      <c r="BK22" s="662">
        <f>N12</f>
        <v>0</v>
      </c>
      <c r="BL22" s="662"/>
      <c r="BM22" s="662">
        <f>P12</f>
        <v>0</v>
      </c>
      <c r="BN22" s="662"/>
      <c r="BO22" s="662">
        <f>R12</f>
        <v>0</v>
      </c>
      <c r="BP22" s="662"/>
      <c r="BQ22" s="662">
        <f>T12</f>
        <v>0</v>
      </c>
      <c r="BR22" s="662"/>
      <c r="BS22" s="662">
        <f>V12</f>
        <v>0</v>
      </c>
      <c r="BT22" s="662"/>
      <c r="BU22" s="662">
        <f>X12</f>
        <v>0</v>
      </c>
      <c r="BV22" s="662"/>
      <c r="BW22" s="662">
        <f>Z12</f>
        <v>0</v>
      </c>
      <c r="BX22" s="662"/>
      <c r="BY22" s="662">
        <f>AB12</f>
        <v>0</v>
      </c>
      <c r="BZ22" s="662"/>
      <c r="CA22" s="662">
        <f>AD12</f>
        <v>0</v>
      </c>
      <c r="CB22" s="662"/>
      <c r="CC22" s="662">
        <f>AF12</f>
        <v>0</v>
      </c>
      <c r="CD22" s="662"/>
      <c r="CE22" s="662">
        <f>AH12</f>
        <v>0</v>
      </c>
      <c r="CF22" s="665"/>
      <c r="CG22" s="662">
        <f>AJ12</f>
        <v>0</v>
      </c>
      <c r="CH22" s="662"/>
      <c r="CI22" s="662">
        <f>AL12</f>
        <v>0</v>
      </c>
      <c r="CJ22" s="662"/>
      <c r="CK22" s="662">
        <f>AN12</f>
        <v>0</v>
      </c>
      <c r="CL22" s="662"/>
      <c r="CM22" s="662">
        <f>AP12</f>
        <v>0</v>
      </c>
      <c r="CN22" s="665"/>
      <c r="CO22" s="662">
        <f>AR12</f>
        <v>0</v>
      </c>
      <c r="CP22" s="662"/>
      <c r="CQ22" s="662">
        <f>AT12</f>
        <v>0</v>
      </c>
      <c r="CR22" s="662"/>
      <c r="CS22" s="662">
        <f>AV12</f>
        <v>0</v>
      </c>
    </row>
    <row r="23" spans="1:97" ht="28.5" customHeight="1">
      <c r="A23" s="195">
        <v>0</v>
      </c>
      <c r="B23" s="196">
        <v>-1</v>
      </c>
      <c r="C23" s="559" t="s">
        <v>715</v>
      </c>
      <c r="D23" s="863" t="s">
        <v>725</v>
      </c>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5"/>
      <c r="AZ23" s="688" t="s">
        <v>295</v>
      </c>
      <c r="BA23" s="689" t="s">
        <v>215</v>
      </c>
      <c r="BB23" s="677"/>
      <c r="BC23" s="677" t="str">
        <f>IF(OR(ISBLANK(F12),ISBLANK(F9),ISBLANK(F11)),"N/A",IF(BC22=100-F11-F9,"ok","&lt;&gt;"))</f>
        <v>N/A</v>
      </c>
      <c r="BD23" s="677"/>
      <c r="BE23" s="677" t="str">
        <f>IF(OR(ISBLANK(H12),ISBLANK(H9),ISBLANK(H11)),"N/A",IF(BE22=100-H11-H9,"ok","&lt;&gt;"))</f>
        <v>N/A</v>
      </c>
      <c r="BF23" s="677"/>
      <c r="BG23" s="677" t="str">
        <f>IF(OR(ISBLANK(J12),ISBLANK(J9),ISBLANK(J11)),"N/A",IF(BG22=100-J11-J9,"ok","&lt;&gt;"))</f>
        <v>N/A</v>
      </c>
      <c r="BH23" s="677"/>
      <c r="BI23" s="677" t="str">
        <f>IF(OR(ISBLANK(L12),ISBLANK(L9),ISBLANK(L11)),"N/A",IF(BI22=100-L11-L9,"ok","&lt;&gt;"))</f>
        <v>N/A</v>
      </c>
      <c r="BJ23" s="677"/>
      <c r="BK23" s="677" t="str">
        <f>IF(OR(ISBLANK(N12),ISBLANK(N9),ISBLANK(N11)),"N/A",IF(BK22=100-N11-N9,"ok","&lt;&gt;"))</f>
        <v>N/A</v>
      </c>
      <c r="BL23" s="677"/>
      <c r="BM23" s="677" t="str">
        <f>IF(OR(ISBLANK(P12),ISBLANK(P9),ISBLANK(P11)),"N/A",IF(BM22=100-P11-P9,"ok","&lt;&gt;"))</f>
        <v>N/A</v>
      </c>
      <c r="BN23" s="677"/>
      <c r="BO23" s="677" t="str">
        <f>IF(OR(ISBLANK(R12),ISBLANK(R9),ISBLANK(R11)),"N/A",IF(BO22=100-R11-R9,"ok","&lt;&gt;"))</f>
        <v>N/A</v>
      </c>
      <c r="BP23" s="677"/>
      <c r="BQ23" s="677" t="str">
        <f>IF(OR(ISBLANK(T12),ISBLANK(T9),ISBLANK(T11)),"N/A",IF(BQ22=100-T11-T9,"ok","&lt;&gt;"))</f>
        <v>N/A</v>
      </c>
      <c r="BR23" s="677"/>
      <c r="BS23" s="677" t="str">
        <f>IF(OR(ISBLANK(V12),ISBLANK(V9),ISBLANK(V11)),"N/A",IF(BS22=100-V11-V9,"ok","&lt;&gt;"))</f>
        <v>N/A</v>
      </c>
      <c r="BT23" s="677"/>
      <c r="BU23" s="677" t="str">
        <f>IF(OR(ISBLANK(X12),ISBLANK(X9),ISBLANK(X11)),"N/A",IF(BU22=100-X11-X9,"ok","&lt;&gt;"))</f>
        <v>N/A</v>
      </c>
      <c r="BV23" s="677"/>
      <c r="BW23" s="677" t="str">
        <f>IF(OR(ISBLANK(Z12),ISBLANK(Z9),ISBLANK(Z11)),"N/A",IF(BW22=100-Z11-Z9,"ok","&lt;&gt;"))</f>
        <v>N/A</v>
      </c>
      <c r="BX23" s="677"/>
      <c r="BY23" s="677" t="str">
        <f>IF(OR(ISBLANK(AB12),ISBLANK(AB9),ISBLANK(AB11)),"N/A",IF(BY22=100-AB11-AB9,"ok","&lt;&gt;"))</f>
        <v>N/A</v>
      </c>
      <c r="BZ23" s="677"/>
      <c r="CA23" s="677" t="str">
        <f>IF(OR(ISBLANK(AD12),ISBLANK(AD9),ISBLANK(AD11)),"N/A",IF(CA22=100-AD11-AD9,"ok","&lt;&gt;"))</f>
        <v>N/A</v>
      </c>
      <c r="CB23" s="677"/>
      <c r="CC23" s="677" t="str">
        <f>IF(OR(ISBLANK(AF12),ISBLANK(AF9),ISBLANK(AF11)),"N/A",IF(CC22=100-AF11-AF9,"ok","&lt;&gt;"))</f>
        <v>N/A</v>
      </c>
      <c r="CD23" s="677"/>
      <c r="CE23" s="677" t="str">
        <f>IF(OR(ISBLANK(AH12),ISBLANK(AH9),ISBLANK(AH11)),"N/A",IF(CE22=100-AH11-AH9,"ok","&lt;&gt;"))</f>
        <v>N/A</v>
      </c>
      <c r="CF23" s="677"/>
      <c r="CG23" s="677" t="str">
        <f>IF(OR(ISBLANK(AJ12),ISBLANK(AJ9),ISBLANK(AJ11)),"N/A",IF(CG22=100-AJ11-AJ9,"ok","&lt;&gt;"))</f>
        <v>N/A</v>
      </c>
      <c r="CH23" s="677"/>
      <c r="CI23" s="677" t="str">
        <f>IF(OR(ISBLANK(AL12),ISBLANK(AL9),ISBLANK(AL11)),"N/A",IF(CI22=100-AL11-AL9,"ok","&lt;&gt;"))</f>
        <v>N/A</v>
      </c>
      <c r="CJ23" s="677"/>
      <c r="CK23" s="677" t="str">
        <f>IF(OR(ISBLANK(AN12),ISBLANK(AN9),ISBLANK(AN11)),"N/A",IF(CK22=100-AN11-AN9,"ok","&lt;&gt;"))</f>
        <v>N/A</v>
      </c>
      <c r="CL23" s="677"/>
      <c r="CM23" s="677" t="str">
        <f>IF(OR(ISBLANK(AP12),ISBLANK(AP9),ISBLANK(AP11)),"N/A",IF(CM22=100-AP11-AP9,"ok","&lt;&gt;"))</f>
        <v>N/A</v>
      </c>
      <c r="CN23" s="677"/>
      <c r="CO23" s="677" t="str">
        <f>IF(OR(ISBLANK(AR12),ISBLANK(AR9),ISBLANK(AR11)),"N/A",IF(CO22=100-AR11-AR9,"ok","&lt;&gt;"))</f>
        <v>N/A</v>
      </c>
      <c r="CP23" s="677"/>
      <c r="CQ23" s="677" t="str">
        <f>IF(OR(ISBLANK(AT12),ISBLANK(AT9),ISBLANK(AT11)),"N/A",IF(CQ22=100-AT11-AT9,"ok","&lt;&gt;"))</f>
        <v>N/A</v>
      </c>
      <c r="CR23" s="677"/>
      <c r="CS23" s="677" t="str">
        <f>IF(OR(ISBLANK(AV12),ISBLANK(AV9),ISBLANK(AV11)),"N/A",IF(CS22=100-AV11-AV9,"ok","&lt;&gt;"))</f>
        <v>N/A</v>
      </c>
    </row>
    <row r="24" spans="1:97" ht="18" customHeight="1">
      <c r="A24" s="195">
        <v>0</v>
      </c>
      <c r="B24" s="196">
        <v>-1</v>
      </c>
      <c r="C24" s="559" t="s">
        <v>717</v>
      </c>
      <c r="D24" s="863" t="s">
        <v>724</v>
      </c>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5"/>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63"/>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5"/>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63"/>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5"/>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63"/>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5"/>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63"/>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5"/>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63"/>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5"/>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63"/>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5"/>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63"/>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BA31" s="326"/>
    </row>
    <row r="32" spans="3:50" ht="18" customHeight="1">
      <c r="C32" s="559"/>
      <c r="D32" s="863"/>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5"/>
    </row>
    <row r="33" spans="3:50" ht="18" customHeight="1">
      <c r="C33" s="559"/>
      <c r="D33" s="863"/>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5"/>
    </row>
    <row r="34" spans="3:50" ht="18" customHeight="1">
      <c r="C34" s="559"/>
      <c r="D34" s="863"/>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5"/>
    </row>
    <row r="35" spans="3:50" ht="18" customHeight="1">
      <c r="C35" s="559"/>
      <c r="D35" s="863"/>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3:50"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3:50"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5"/>
    </row>
    <row r="38" spans="3:50"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5"/>
    </row>
    <row r="39" spans="3:50"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5"/>
    </row>
    <row r="40" spans="3:50" ht="18" customHeight="1">
      <c r="C40" s="559"/>
      <c r="D40" s="863"/>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5"/>
    </row>
    <row r="41" spans="3:50"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5"/>
    </row>
    <row r="42" spans="3:50" ht="18" customHeight="1">
      <c r="C42" s="567"/>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3:50" ht="18" customHeight="1">
      <c r="C43" s="568"/>
      <c r="D43" s="877"/>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formatCells="0" formatColumns="0" formatRows="0" insertColumns="0" insertRows="0" insertHyperlinks="0"/>
  <mergeCells count="27">
    <mergeCell ref="D32:AX32"/>
    <mergeCell ref="D33:AX33"/>
    <mergeCell ref="C5:AN5"/>
    <mergeCell ref="D22:AX22"/>
    <mergeCell ref="D23:AX23"/>
    <mergeCell ref="D24:AX24"/>
    <mergeCell ref="D15:AX15"/>
    <mergeCell ref="D17:AX17"/>
    <mergeCell ref="D16:AX16"/>
    <mergeCell ref="D30:AX30"/>
    <mergeCell ref="D43:AX43"/>
    <mergeCell ref="D36:AX36"/>
    <mergeCell ref="D37:AX37"/>
    <mergeCell ref="D38:AX38"/>
    <mergeCell ref="D39:AX39"/>
    <mergeCell ref="D40:AX40"/>
    <mergeCell ref="D41:AX41"/>
    <mergeCell ref="D21:AX21"/>
    <mergeCell ref="D34:AX34"/>
    <mergeCell ref="D35:AX35"/>
    <mergeCell ref="D42:AX42"/>
    <mergeCell ref="D31:AX31"/>
    <mergeCell ref="D25:AX25"/>
    <mergeCell ref="D26:AX26"/>
    <mergeCell ref="D27:AX27"/>
    <mergeCell ref="D28:AX28"/>
    <mergeCell ref="D29:AX29"/>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2020-10-30T16:03:01Z</cp:lastPrinted>
  <dcterms:created xsi:type="dcterms:W3CDTF">2001-01-18T18:38:40Z</dcterms:created>
  <dcterms:modified xsi:type="dcterms:W3CDTF">2023-03-28T16:28:14Z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